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MMP2014\ASSOCIATION_MANAGEMENT\Hickory Hammock\deficit funding\"/>
    </mc:Choice>
  </mc:AlternateContent>
  <bookViews>
    <workbookView xWindow="0" yWindow="0" windowWidth="24000" windowHeight="9135" tabRatio="862" activeTab="9"/>
  </bookViews>
  <sheets>
    <sheet name="JAN" sheetId="14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15" r:id="rId9"/>
    <sheet name="OCT" sheetId="10" r:id="rId10"/>
    <sheet name="NOV" sheetId="11" r:id="rId11"/>
    <sheet name="DEC" sheetId="16" r:id="rId12"/>
    <sheet name="YTD" sheetId="13" r:id="rId13"/>
    <sheet name="Reserve calcs" sheetId="17" r:id="rId14"/>
  </sheets>
  <definedNames>
    <definedName name="_xlnm.Print_Area" localSheetId="3">APR!$A$1:$K$92</definedName>
    <definedName name="_xlnm.Print_Area" localSheetId="7">AUG!$A$1:$K$92</definedName>
    <definedName name="_xlnm.Print_Area" localSheetId="11">DEC!$A$1:$K$87</definedName>
    <definedName name="_xlnm.Print_Area" localSheetId="1">FEB!$A$1:$K$80</definedName>
    <definedName name="_xlnm.Print_Area" localSheetId="0">JAN!$A$1:$L$90</definedName>
    <definedName name="_xlnm.Print_Area" localSheetId="6">JUL!$A$1:$K$89</definedName>
    <definedName name="_xlnm.Print_Area" localSheetId="5">JUN!$A$1:$K$92</definedName>
    <definedName name="_xlnm.Print_Area" localSheetId="2">MAR!$A$1:$K$93</definedName>
    <definedName name="_xlnm.Print_Area" localSheetId="4">MAY!$A$1:$K$86</definedName>
    <definedName name="_xlnm.Print_Area" localSheetId="10">NOV!$A$1:$K$87</definedName>
    <definedName name="_xlnm.Print_Area" localSheetId="9">OCT!$A$1:$K$82</definedName>
    <definedName name="_xlnm.Print_Area" localSheetId="13">'Reserve calcs'!$A$1:$F$21</definedName>
    <definedName name="_xlnm.Print_Area" localSheetId="8">SEP!$A$1:$L$89</definedName>
    <definedName name="_xlnm.Print_Area" localSheetId="12">YTD!$A$1:$E$19</definedName>
  </definedNames>
  <calcPr calcId="152511"/>
</workbook>
</file>

<file path=xl/calcChain.xml><?xml version="1.0" encoding="utf-8"?>
<calcChain xmlns="http://schemas.openxmlformats.org/spreadsheetml/2006/main">
  <c r="E51" i="15" l="1"/>
  <c r="H14" i="15" l="1"/>
  <c r="E33" i="8" l="1"/>
  <c r="B19" i="17"/>
  <c r="B18" i="17"/>
  <c r="B20" i="17"/>
  <c r="B14" i="17"/>
  <c r="E16" i="17" s="1"/>
  <c r="E15" i="17" s="1"/>
  <c r="B13" i="17"/>
  <c r="B15" i="17"/>
  <c r="B5" i="17"/>
  <c r="B7" i="17" s="1"/>
  <c r="B6" i="17" l="1"/>
  <c r="B8" i="17" l="1"/>
  <c r="E8" i="17"/>
  <c r="E7" i="17" s="1"/>
  <c r="B16" i="17"/>
  <c r="G28" i="8" l="1"/>
  <c r="H14" i="8" l="1"/>
  <c r="H15" i="8"/>
  <c r="E72" i="6" l="1"/>
  <c r="E72" i="7"/>
  <c r="E46" i="4" l="1"/>
  <c r="E28" i="4"/>
  <c r="E29" i="4"/>
  <c r="E74" i="4" l="1"/>
  <c r="E74" i="3" l="1"/>
  <c r="E46" i="3"/>
  <c r="E41" i="3" l="1"/>
  <c r="H17" i="3" l="1"/>
  <c r="H17" i="14" l="1"/>
  <c r="E24" i="14"/>
  <c r="E22" i="14"/>
  <c r="H8" i="14"/>
  <c r="E2" i="13" l="1"/>
  <c r="I81" i="3"/>
  <c r="I81" i="4"/>
  <c r="I81" i="5"/>
  <c r="I81" i="6"/>
  <c r="I81" i="7"/>
  <c r="I81" i="8"/>
  <c r="I81" i="15"/>
  <c r="I81" i="10"/>
  <c r="I81" i="11"/>
  <c r="I81" i="16"/>
  <c r="I81" i="2"/>
  <c r="E46" i="5"/>
  <c r="E74" i="5"/>
  <c r="H16" i="14"/>
  <c r="H15" i="14"/>
  <c r="H14" i="14"/>
  <c r="E74" i="2"/>
  <c r="E76" i="14"/>
  <c r="E48" i="14"/>
  <c r="H9" i="14" s="1"/>
  <c r="I82" i="2" l="1"/>
  <c r="I82" i="3" s="1"/>
  <c r="H9" i="5"/>
  <c r="E46" i="6"/>
  <c r="H9" i="6" s="1"/>
  <c r="E46" i="7"/>
  <c r="H9" i="7" s="1"/>
  <c r="E46" i="8"/>
  <c r="H9" i="8" s="1"/>
  <c r="E46" i="15"/>
  <c r="E46" i="10"/>
  <c r="H9" i="10" s="1"/>
  <c r="E46" i="11"/>
  <c r="H9" i="11" s="1"/>
  <c r="E46" i="16"/>
  <c r="E74" i="6"/>
  <c r="H10" i="6" s="1"/>
  <c r="E74" i="7"/>
  <c r="H10" i="7" s="1"/>
  <c r="E74" i="8"/>
  <c r="H10" i="8" s="1"/>
  <c r="E74" i="15"/>
  <c r="H10" i="15" s="1"/>
  <c r="E74" i="10"/>
  <c r="H10" i="10" s="1"/>
  <c r="E74" i="11"/>
  <c r="H10" i="11" s="1"/>
  <c r="E74" i="16"/>
  <c r="A92" i="4"/>
  <c r="I91" i="4"/>
  <c r="A90" i="4"/>
  <c r="J89" i="4"/>
  <c r="H89" i="4"/>
  <c r="A88" i="4"/>
  <c r="G85" i="4"/>
  <c r="G92" i="4" s="1"/>
  <c r="A85" i="4"/>
  <c r="H84" i="4"/>
  <c r="H91" i="4" s="1"/>
  <c r="G84" i="4"/>
  <c r="G91" i="4" s="1"/>
  <c r="G83" i="4"/>
  <c r="G90" i="4" s="1"/>
  <c r="A83" i="4"/>
  <c r="K82" i="4"/>
  <c r="K89" i="4" s="1"/>
  <c r="G82" i="4"/>
  <c r="G89" i="4" s="1"/>
  <c r="A82" i="4"/>
  <c r="G81" i="4"/>
  <c r="G88" i="4" s="1"/>
  <c r="A81" i="4"/>
  <c r="G80" i="4"/>
  <c r="G78" i="4"/>
  <c r="A78" i="4"/>
  <c r="G77" i="4"/>
  <c r="G76" i="4"/>
  <c r="A76" i="4"/>
  <c r="G75" i="4"/>
  <c r="H9" i="4"/>
  <c r="B46" i="4"/>
  <c r="G44" i="4"/>
  <c r="G72" i="4" s="1"/>
  <c r="B44" i="4"/>
  <c r="B72" i="4" s="1"/>
  <c r="G43" i="4"/>
  <c r="G71" i="4" s="1"/>
  <c r="B43" i="4"/>
  <c r="B71" i="4" s="1"/>
  <c r="G42" i="4"/>
  <c r="G70" i="4" s="1"/>
  <c r="B42" i="4"/>
  <c r="B70" i="4" s="1"/>
  <c r="G41" i="4"/>
  <c r="G69" i="4" s="1"/>
  <c r="B41" i="4"/>
  <c r="B69" i="4" s="1"/>
  <c r="G40" i="4"/>
  <c r="G68" i="4" s="1"/>
  <c r="B40" i="4"/>
  <c r="B68" i="4" s="1"/>
  <c r="G39" i="4"/>
  <c r="G67" i="4" s="1"/>
  <c r="B39" i="4"/>
  <c r="B67" i="4" s="1"/>
  <c r="G38" i="4"/>
  <c r="G66" i="4" s="1"/>
  <c r="B38" i="4"/>
  <c r="B66" i="4" s="1"/>
  <c r="G37" i="4"/>
  <c r="G65" i="4" s="1"/>
  <c r="B37" i="4"/>
  <c r="B65" i="4" s="1"/>
  <c r="G36" i="4"/>
  <c r="G64" i="4" s="1"/>
  <c r="B36" i="4"/>
  <c r="B64" i="4" s="1"/>
  <c r="G35" i="4"/>
  <c r="G63" i="4" s="1"/>
  <c r="B35" i="4"/>
  <c r="B63" i="4" s="1"/>
  <c r="G34" i="4"/>
  <c r="G62" i="4" s="1"/>
  <c r="B34" i="4"/>
  <c r="B62" i="4" s="1"/>
  <c r="G33" i="4"/>
  <c r="G61" i="4" s="1"/>
  <c r="B33" i="4"/>
  <c r="B61" i="4" s="1"/>
  <c r="G32" i="4"/>
  <c r="G60" i="4" s="1"/>
  <c r="B32" i="4"/>
  <c r="B60" i="4" s="1"/>
  <c r="G31" i="4"/>
  <c r="G59" i="4" s="1"/>
  <c r="B31" i="4"/>
  <c r="B59" i="4" s="1"/>
  <c r="G30" i="4"/>
  <c r="G58" i="4" s="1"/>
  <c r="B30" i="4"/>
  <c r="B58" i="4" s="1"/>
  <c r="G29" i="4"/>
  <c r="G57" i="4" s="1"/>
  <c r="B29" i="4"/>
  <c r="B57" i="4" s="1"/>
  <c r="G28" i="4"/>
  <c r="G56" i="4" s="1"/>
  <c r="B28" i="4"/>
  <c r="B56" i="4" s="1"/>
  <c r="G27" i="4"/>
  <c r="G55" i="4" s="1"/>
  <c r="B27" i="4"/>
  <c r="B55" i="4" s="1"/>
  <c r="G26" i="4"/>
  <c r="G54" i="4" s="1"/>
  <c r="B26" i="4"/>
  <c r="B54" i="4" s="1"/>
  <c r="G25" i="4"/>
  <c r="G53" i="4" s="1"/>
  <c r="B25" i="4"/>
  <c r="B53" i="4" s="1"/>
  <c r="G24" i="4"/>
  <c r="G52" i="4" s="1"/>
  <c r="B24" i="4"/>
  <c r="B52" i="4" s="1"/>
  <c r="G23" i="4"/>
  <c r="G51" i="4" s="1"/>
  <c r="B23" i="4"/>
  <c r="B51" i="4" s="1"/>
  <c r="G22" i="4"/>
  <c r="G50" i="4" s="1"/>
  <c r="B22" i="4"/>
  <c r="B50" i="4" s="1"/>
  <c r="A20" i="4"/>
  <c r="A18" i="4"/>
  <c r="G17" i="4"/>
  <c r="G16" i="4"/>
  <c r="H16" i="4" s="1"/>
  <c r="A16" i="4"/>
  <c r="G15" i="4"/>
  <c r="H15" i="4" s="1"/>
  <c r="A15" i="4"/>
  <c r="G14" i="4"/>
  <c r="H14" i="4" s="1"/>
  <c r="A14" i="4"/>
  <c r="G12" i="4"/>
  <c r="F12" i="4"/>
  <c r="H10" i="4"/>
  <c r="G10" i="4"/>
  <c r="A10" i="4"/>
  <c r="G9" i="4"/>
  <c r="A9" i="4"/>
  <c r="G8" i="4"/>
  <c r="A8" i="4"/>
  <c r="H6" i="4"/>
  <c r="A92" i="5"/>
  <c r="I91" i="5"/>
  <c r="A90" i="5"/>
  <c r="J89" i="5"/>
  <c r="H89" i="5"/>
  <c r="A88" i="5"/>
  <c r="G85" i="5"/>
  <c r="G92" i="5" s="1"/>
  <c r="A85" i="5"/>
  <c r="H84" i="5"/>
  <c r="H91" i="5" s="1"/>
  <c r="G84" i="5"/>
  <c r="G91" i="5" s="1"/>
  <c r="G83" i="5"/>
  <c r="G90" i="5" s="1"/>
  <c r="A83" i="5"/>
  <c r="K82" i="5"/>
  <c r="K89" i="5" s="1"/>
  <c r="G82" i="5"/>
  <c r="G89" i="5" s="1"/>
  <c r="A82" i="5"/>
  <c r="G81" i="5"/>
  <c r="G88" i="5" s="1"/>
  <c r="A81" i="5"/>
  <c r="G80" i="5"/>
  <c r="G78" i="5"/>
  <c r="A78" i="5"/>
  <c r="G77" i="5"/>
  <c r="G76" i="5"/>
  <c r="A76" i="5"/>
  <c r="G75" i="5"/>
  <c r="H10" i="5"/>
  <c r="B46" i="5"/>
  <c r="G44" i="5"/>
  <c r="G72" i="5" s="1"/>
  <c r="B44" i="5"/>
  <c r="B72" i="5" s="1"/>
  <c r="G43" i="5"/>
  <c r="G71" i="5" s="1"/>
  <c r="B43" i="5"/>
  <c r="B71" i="5" s="1"/>
  <c r="G42" i="5"/>
  <c r="G70" i="5" s="1"/>
  <c r="B42" i="5"/>
  <c r="B70" i="5" s="1"/>
  <c r="G41" i="5"/>
  <c r="G69" i="5" s="1"/>
  <c r="B41" i="5"/>
  <c r="B69" i="5" s="1"/>
  <c r="G40" i="5"/>
  <c r="G68" i="5" s="1"/>
  <c r="B40" i="5"/>
  <c r="B68" i="5" s="1"/>
  <c r="G39" i="5"/>
  <c r="G67" i="5" s="1"/>
  <c r="B39" i="5"/>
  <c r="B67" i="5" s="1"/>
  <c r="G38" i="5"/>
  <c r="G66" i="5" s="1"/>
  <c r="B38" i="5"/>
  <c r="B66" i="5" s="1"/>
  <c r="G37" i="5"/>
  <c r="G65" i="5" s="1"/>
  <c r="B37" i="5"/>
  <c r="B65" i="5" s="1"/>
  <c r="G36" i="5"/>
  <c r="G64" i="5" s="1"/>
  <c r="B36" i="5"/>
  <c r="B64" i="5" s="1"/>
  <c r="G35" i="5"/>
  <c r="G63" i="5" s="1"/>
  <c r="B35" i="5"/>
  <c r="B63" i="5" s="1"/>
  <c r="G34" i="5"/>
  <c r="G62" i="5" s="1"/>
  <c r="B34" i="5"/>
  <c r="B62" i="5" s="1"/>
  <c r="G33" i="5"/>
  <c r="G61" i="5" s="1"/>
  <c r="B33" i="5"/>
  <c r="B61" i="5" s="1"/>
  <c r="G32" i="5"/>
  <c r="G60" i="5" s="1"/>
  <c r="B32" i="5"/>
  <c r="B60" i="5" s="1"/>
  <c r="G31" i="5"/>
  <c r="G59" i="5" s="1"/>
  <c r="B31" i="5"/>
  <c r="B59" i="5" s="1"/>
  <c r="G30" i="5"/>
  <c r="G58" i="5" s="1"/>
  <c r="B30" i="5"/>
  <c r="B58" i="5" s="1"/>
  <c r="G29" i="5"/>
  <c r="G57" i="5" s="1"/>
  <c r="B29" i="5"/>
  <c r="B57" i="5" s="1"/>
  <c r="G28" i="5"/>
  <c r="G56" i="5" s="1"/>
  <c r="B28" i="5"/>
  <c r="B56" i="5" s="1"/>
  <c r="G27" i="5"/>
  <c r="G55" i="5" s="1"/>
  <c r="B27" i="5"/>
  <c r="B55" i="5" s="1"/>
  <c r="G26" i="5"/>
  <c r="G54" i="5" s="1"/>
  <c r="B26" i="5"/>
  <c r="B54" i="5" s="1"/>
  <c r="G25" i="5"/>
  <c r="G53" i="5" s="1"/>
  <c r="B25" i="5"/>
  <c r="B53" i="5" s="1"/>
  <c r="G24" i="5"/>
  <c r="G52" i="5" s="1"/>
  <c r="B24" i="5"/>
  <c r="B52" i="5" s="1"/>
  <c r="G23" i="5"/>
  <c r="G51" i="5" s="1"/>
  <c r="B23" i="5"/>
  <c r="B51" i="5" s="1"/>
  <c r="G22" i="5"/>
  <c r="G50" i="5" s="1"/>
  <c r="B22" i="5"/>
  <c r="B50" i="5" s="1"/>
  <c r="A20" i="5"/>
  <c r="A18" i="5"/>
  <c r="G17" i="5"/>
  <c r="G16" i="5"/>
  <c r="H16" i="5" s="1"/>
  <c r="A16" i="5"/>
  <c r="G15" i="5"/>
  <c r="H15" i="5" s="1"/>
  <c r="A15" i="5"/>
  <c r="G14" i="5"/>
  <c r="H14" i="5" s="1"/>
  <c r="A14" i="5"/>
  <c r="G12" i="5"/>
  <c r="F12" i="5"/>
  <c r="G10" i="5"/>
  <c r="A10" i="5"/>
  <c r="G9" i="5"/>
  <c r="A9" i="5"/>
  <c r="G8" i="5"/>
  <c r="A8" i="5"/>
  <c r="H6" i="5"/>
  <c r="A92" i="6"/>
  <c r="I91" i="6"/>
  <c r="A90" i="6"/>
  <c r="J89" i="6"/>
  <c r="H89" i="6"/>
  <c r="G88" i="6"/>
  <c r="A88" i="6"/>
  <c r="G85" i="6"/>
  <c r="G92" i="6" s="1"/>
  <c r="A85" i="6"/>
  <c r="H84" i="6"/>
  <c r="H91" i="6" s="1"/>
  <c r="G84" i="6"/>
  <c r="G91" i="6" s="1"/>
  <c r="G83" i="6"/>
  <c r="G90" i="6" s="1"/>
  <c r="A83" i="6"/>
  <c r="K82" i="6"/>
  <c r="K89" i="6" s="1"/>
  <c r="G82" i="6"/>
  <c r="G89" i="6" s="1"/>
  <c r="A82" i="6"/>
  <c r="G81" i="6"/>
  <c r="A81" i="6"/>
  <c r="G80" i="6"/>
  <c r="G78" i="6"/>
  <c r="A78" i="6"/>
  <c r="G77" i="6"/>
  <c r="G76" i="6"/>
  <c r="A76" i="6"/>
  <c r="G75" i="6"/>
  <c r="G70" i="6"/>
  <c r="B46" i="6"/>
  <c r="G44" i="6"/>
  <c r="G72" i="6" s="1"/>
  <c r="B44" i="6"/>
  <c r="B72" i="6" s="1"/>
  <c r="G43" i="6"/>
  <c r="G71" i="6" s="1"/>
  <c r="B43" i="6"/>
  <c r="B71" i="6" s="1"/>
  <c r="G42" i="6"/>
  <c r="B42" i="6"/>
  <c r="B70" i="6" s="1"/>
  <c r="G41" i="6"/>
  <c r="G69" i="6" s="1"/>
  <c r="B41" i="6"/>
  <c r="B69" i="6" s="1"/>
  <c r="G40" i="6"/>
  <c r="G68" i="6" s="1"/>
  <c r="B40" i="6"/>
  <c r="B68" i="6" s="1"/>
  <c r="G39" i="6"/>
  <c r="G67" i="6" s="1"/>
  <c r="B39" i="6"/>
  <c r="B67" i="6" s="1"/>
  <c r="G38" i="6"/>
  <c r="G66" i="6" s="1"/>
  <c r="B38" i="6"/>
  <c r="B66" i="6" s="1"/>
  <c r="G37" i="6"/>
  <c r="G65" i="6" s="1"/>
  <c r="B37" i="6"/>
  <c r="B65" i="6" s="1"/>
  <c r="G36" i="6"/>
  <c r="G64" i="6" s="1"/>
  <c r="B36" i="6"/>
  <c r="B64" i="6" s="1"/>
  <c r="G35" i="6"/>
  <c r="G63" i="6" s="1"/>
  <c r="B35" i="6"/>
  <c r="B63" i="6" s="1"/>
  <c r="G34" i="6"/>
  <c r="G62" i="6" s="1"/>
  <c r="B34" i="6"/>
  <c r="B62" i="6" s="1"/>
  <c r="G33" i="6"/>
  <c r="G61" i="6" s="1"/>
  <c r="B33" i="6"/>
  <c r="B61" i="6" s="1"/>
  <c r="G32" i="6"/>
  <c r="G60" i="6" s="1"/>
  <c r="B32" i="6"/>
  <c r="B60" i="6" s="1"/>
  <c r="G31" i="6"/>
  <c r="G59" i="6" s="1"/>
  <c r="B31" i="6"/>
  <c r="B59" i="6" s="1"/>
  <c r="G30" i="6"/>
  <c r="G58" i="6" s="1"/>
  <c r="B30" i="6"/>
  <c r="B58" i="6" s="1"/>
  <c r="G29" i="6"/>
  <c r="G57" i="6" s="1"/>
  <c r="B29" i="6"/>
  <c r="B57" i="6" s="1"/>
  <c r="G28" i="6"/>
  <c r="G56" i="6" s="1"/>
  <c r="B28" i="6"/>
  <c r="B56" i="6" s="1"/>
  <c r="G27" i="6"/>
  <c r="G55" i="6" s="1"/>
  <c r="B27" i="6"/>
  <c r="B55" i="6" s="1"/>
  <c r="G26" i="6"/>
  <c r="G54" i="6" s="1"/>
  <c r="B26" i="6"/>
  <c r="B54" i="6" s="1"/>
  <c r="G25" i="6"/>
  <c r="G53" i="6" s="1"/>
  <c r="B25" i="6"/>
  <c r="B53" i="6" s="1"/>
  <c r="G24" i="6"/>
  <c r="G52" i="6" s="1"/>
  <c r="B24" i="6"/>
  <c r="B52" i="6" s="1"/>
  <c r="G23" i="6"/>
  <c r="G51" i="6" s="1"/>
  <c r="B23" i="6"/>
  <c r="B51" i="6" s="1"/>
  <c r="G22" i="6"/>
  <c r="G50" i="6" s="1"/>
  <c r="B22" i="6"/>
  <c r="B50" i="6" s="1"/>
  <c r="A20" i="6"/>
  <c r="A18" i="6"/>
  <c r="G17" i="6"/>
  <c r="G16" i="6"/>
  <c r="H16" i="6" s="1"/>
  <c r="A16" i="6"/>
  <c r="G15" i="6"/>
  <c r="H15" i="6" s="1"/>
  <c r="A15" i="6"/>
  <c r="G14" i="6"/>
  <c r="H14" i="6" s="1"/>
  <c r="A14" i="6"/>
  <c r="G12" i="6"/>
  <c r="F12" i="6"/>
  <c r="G10" i="6"/>
  <c r="A10" i="6"/>
  <c r="G9" i="6"/>
  <c r="A9" i="6"/>
  <c r="G8" i="6"/>
  <c r="A8" i="6"/>
  <c r="H6" i="6"/>
  <c r="A92" i="7"/>
  <c r="I91" i="7"/>
  <c r="G90" i="7"/>
  <c r="A90" i="7"/>
  <c r="J89" i="7"/>
  <c r="H89" i="7"/>
  <c r="G88" i="7"/>
  <c r="A88" i="7"/>
  <c r="G85" i="7"/>
  <c r="G92" i="7" s="1"/>
  <c r="A85" i="7"/>
  <c r="H84" i="7"/>
  <c r="H91" i="7" s="1"/>
  <c r="G84" i="7"/>
  <c r="G91" i="7" s="1"/>
  <c r="G83" i="7"/>
  <c r="A83" i="7"/>
  <c r="K82" i="7"/>
  <c r="K89" i="7" s="1"/>
  <c r="G82" i="7"/>
  <c r="G89" i="7" s="1"/>
  <c r="A82" i="7"/>
  <c r="G81" i="7"/>
  <c r="A81" i="7"/>
  <c r="G80" i="7"/>
  <c r="G78" i="7"/>
  <c r="A78" i="7"/>
  <c r="G77" i="7"/>
  <c r="G76" i="7"/>
  <c r="A76" i="7"/>
  <c r="G75" i="7"/>
  <c r="B46" i="7"/>
  <c r="G44" i="7"/>
  <c r="G72" i="7" s="1"/>
  <c r="B44" i="7"/>
  <c r="B72" i="7" s="1"/>
  <c r="G43" i="7"/>
  <c r="G71" i="7" s="1"/>
  <c r="B43" i="7"/>
  <c r="B71" i="7" s="1"/>
  <c r="G42" i="7"/>
  <c r="G70" i="7" s="1"/>
  <c r="B42" i="7"/>
  <c r="B70" i="7" s="1"/>
  <c r="G41" i="7"/>
  <c r="G69" i="7" s="1"/>
  <c r="B41" i="7"/>
  <c r="B69" i="7" s="1"/>
  <c r="G40" i="7"/>
  <c r="G68" i="7" s="1"/>
  <c r="B40" i="7"/>
  <c r="B68" i="7" s="1"/>
  <c r="G39" i="7"/>
  <c r="G67" i="7" s="1"/>
  <c r="B39" i="7"/>
  <c r="B67" i="7" s="1"/>
  <c r="G38" i="7"/>
  <c r="G66" i="7" s="1"/>
  <c r="B38" i="7"/>
  <c r="B66" i="7" s="1"/>
  <c r="G37" i="7"/>
  <c r="G65" i="7" s="1"/>
  <c r="B37" i="7"/>
  <c r="B65" i="7" s="1"/>
  <c r="G36" i="7"/>
  <c r="G64" i="7" s="1"/>
  <c r="B36" i="7"/>
  <c r="B64" i="7" s="1"/>
  <c r="G35" i="7"/>
  <c r="G63" i="7" s="1"/>
  <c r="B35" i="7"/>
  <c r="B63" i="7" s="1"/>
  <c r="G34" i="7"/>
  <c r="G62" i="7" s="1"/>
  <c r="B34" i="7"/>
  <c r="B62" i="7" s="1"/>
  <c r="G33" i="7"/>
  <c r="G61" i="7" s="1"/>
  <c r="B33" i="7"/>
  <c r="B61" i="7" s="1"/>
  <c r="G32" i="7"/>
  <c r="G60" i="7" s="1"/>
  <c r="B32" i="7"/>
  <c r="B60" i="7" s="1"/>
  <c r="G31" i="7"/>
  <c r="G59" i="7" s="1"/>
  <c r="B31" i="7"/>
  <c r="B59" i="7" s="1"/>
  <c r="G30" i="7"/>
  <c r="G58" i="7" s="1"/>
  <c r="B30" i="7"/>
  <c r="B58" i="7" s="1"/>
  <c r="G29" i="7"/>
  <c r="G57" i="7" s="1"/>
  <c r="B29" i="7"/>
  <c r="B57" i="7" s="1"/>
  <c r="G28" i="7"/>
  <c r="G56" i="7" s="1"/>
  <c r="B28" i="7"/>
  <c r="B56" i="7" s="1"/>
  <c r="G27" i="7"/>
  <c r="G55" i="7" s="1"/>
  <c r="B27" i="7"/>
  <c r="B55" i="7" s="1"/>
  <c r="G26" i="7"/>
  <c r="G54" i="7" s="1"/>
  <c r="B26" i="7"/>
  <c r="B54" i="7" s="1"/>
  <c r="G25" i="7"/>
  <c r="G53" i="7" s="1"/>
  <c r="B25" i="7"/>
  <c r="B53" i="7" s="1"/>
  <c r="G24" i="7"/>
  <c r="G52" i="7" s="1"/>
  <c r="B24" i="7"/>
  <c r="B52" i="7" s="1"/>
  <c r="G23" i="7"/>
  <c r="G51" i="7" s="1"/>
  <c r="B23" i="7"/>
  <c r="B51" i="7" s="1"/>
  <c r="G22" i="7"/>
  <c r="G50" i="7" s="1"/>
  <c r="B22" i="7"/>
  <c r="B50" i="7" s="1"/>
  <c r="A20" i="7"/>
  <c r="A18" i="7"/>
  <c r="G17" i="7"/>
  <c r="G16" i="7"/>
  <c r="H16" i="7" s="1"/>
  <c r="A16" i="7"/>
  <c r="G15" i="7"/>
  <c r="H15" i="7" s="1"/>
  <c r="A15" i="7"/>
  <c r="G14" i="7"/>
  <c r="H14" i="7" s="1"/>
  <c r="A14" i="7"/>
  <c r="G12" i="7"/>
  <c r="F12" i="7"/>
  <c r="G10" i="7"/>
  <c r="A10" i="7"/>
  <c r="G9" i="7"/>
  <c r="A9" i="7"/>
  <c r="G8" i="7"/>
  <c r="A8" i="7"/>
  <c r="H6" i="7"/>
  <c r="A92" i="8"/>
  <c r="I91" i="8"/>
  <c r="A90" i="8"/>
  <c r="J89" i="8"/>
  <c r="H89" i="8"/>
  <c r="A88" i="8"/>
  <c r="G85" i="8"/>
  <c r="G92" i="8" s="1"/>
  <c r="A85" i="8"/>
  <c r="H84" i="8"/>
  <c r="H91" i="8" s="1"/>
  <c r="G84" i="8"/>
  <c r="G91" i="8" s="1"/>
  <c r="G83" i="8"/>
  <c r="G90" i="8" s="1"/>
  <c r="A83" i="8"/>
  <c r="K82" i="8"/>
  <c r="K89" i="8" s="1"/>
  <c r="G82" i="8"/>
  <c r="G89" i="8" s="1"/>
  <c r="A82" i="8"/>
  <c r="G81" i="8"/>
  <c r="G88" i="8" s="1"/>
  <c r="A81" i="8"/>
  <c r="G80" i="8"/>
  <c r="G78" i="8"/>
  <c r="A78" i="8"/>
  <c r="G77" i="8"/>
  <c r="G76" i="8"/>
  <c r="A76" i="8"/>
  <c r="G75" i="8"/>
  <c r="B46" i="8"/>
  <c r="G44" i="8"/>
  <c r="B44" i="8"/>
  <c r="B72" i="8" s="1"/>
  <c r="G43" i="8"/>
  <c r="B43" i="8"/>
  <c r="B71" i="8" s="1"/>
  <c r="G42" i="8"/>
  <c r="G70" i="8" s="1"/>
  <c r="B42" i="8"/>
  <c r="B70" i="8" s="1"/>
  <c r="G41" i="8"/>
  <c r="G69" i="8" s="1"/>
  <c r="B41" i="8"/>
  <c r="B69" i="8" s="1"/>
  <c r="G40" i="8"/>
  <c r="G68" i="8" s="1"/>
  <c r="B40" i="8"/>
  <c r="B68" i="8" s="1"/>
  <c r="G39" i="8"/>
  <c r="G67" i="8" s="1"/>
  <c r="B39" i="8"/>
  <c r="B67" i="8" s="1"/>
  <c r="G38" i="8"/>
  <c r="G66" i="8" s="1"/>
  <c r="B38" i="8"/>
  <c r="B66" i="8" s="1"/>
  <c r="G37" i="8"/>
  <c r="G65" i="8" s="1"/>
  <c r="B37" i="8"/>
  <c r="B65" i="8" s="1"/>
  <c r="G36" i="8"/>
  <c r="G64" i="8" s="1"/>
  <c r="B36" i="8"/>
  <c r="B64" i="8" s="1"/>
  <c r="G63" i="8"/>
  <c r="B35" i="8"/>
  <c r="B63" i="8" s="1"/>
  <c r="G34" i="8"/>
  <c r="G62" i="8" s="1"/>
  <c r="B34" i="8"/>
  <c r="B62" i="8" s="1"/>
  <c r="G33" i="8"/>
  <c r="G61" i="8" s="1"/>
  <c r="B33" i="8"/>
  <c r="B61" i="8" s="1"/>
  <c r="G32" i="8"/>
  <c r="G60" i="8" s="1"/>
  <c r="B32" i="8"/>
  <c r="B60" i="8" s="1"/>
  <c r="G31" i="8"/>
  <c r="G59" i="8" s="1"/>
  <c r="B31" i="8"/>
  <c r="B59" i="8" s="1"/>
  <c r="G30" i="8"/>
  <c r="G58" i="8" s="1"/>
  <c r="B30" i="8"/>
  <c r="B58" i="8" s="1"/>
  <c r="G29" i="8"/>
  <c r="G57" i="8" s="1"/>
  <c r="B29" i="8"/>
  <c r="B57" i="8" s="1"/>
  <c r="G56" i="8"/>
  <c r="B28" i="8"/>
  <c r="B56" i="8" s="1"/>
  <c r="G27" i="8"/>
  <c r="G55" i="8" s="1"/>
  <c r="B27" i="8"/>
  <c r="B55" i="8" s="1"/>
  <c r="G26" i="8"/>
  <c r="G54" i="8" s="1"/>
  <c r="B26" i="8"/>
  <c r="B54" i="8" s="1"/>
  <c r="G25" i="8"/>
  <c r="G53" i="8" s="1"/>
  <c r="B25" i="8"/>
  <c r="B53" i="8" s="1"/>
  <c r="G24" i="8"/>
  <c r="G52" i="8" s="1"/>
  <c r="B24" i="8"/>
  <c r="B52" i="8" s="1"/>
  <c r="G23" i="8"/>
  <c r="G51" i="8" s="1"/>
  <c r="B23" i="8"/>
  <c r="B51" i="8" s="1"/>
  <c r="G22" i="8"/>
  <c r="G50" i="8" s="1"/>
  <c r="B22" i="8"/>
  <c r="B50" i="8" s="1"/>
  <c r="A20" i="8"/>
  <c r="A18" i="8"/>
  <c r="G17" i="8"/>
  <c r="G16" i="8"/>
  <c r="H16" i="8" s="1"/>
  <c r="A16" i="8"/>
  <c r="G15" i="8"/>
  <c r="A15" i="8"/>
  <c r="G14" i="8"/>
  <c r="A14" i="8"/>
  <c r="G12" i="8"/>
  <c r="F12" i="8"/>
  <c r="G10" i="8"/>
  <c r="A10" i="8"/>
  <c r="G9" i="8"/>
  <c r="A9" i="8"/>
  <c r="G8" i="8"/>
  <c r="A8" i="8"/>
  <c r="H6" i="8"/>
  <c r="A92" i="15"/>
  <c r="I91" i="15"/>
  <c r="A90" i="15"/>
  <c r="K89" i="15"/>
  <c r="J89" i="15"/>
  <c r="H89" i="15"/>
  <c r="A88" i="15"/>
  <c r="G85" i="15"/>
  <c r="G92" i="15" s="1"/>
  <c r="A85" i="15"/>
  <c r="H84" i="15"/>
  <c r="H91" i="15" s="1"/>
  <c r="G84" i="15"/>
  <c r="G91" i="15" s="1"/>
  <c r="G83" i="15"/>
  <c r="G90" i="15" s="1"/>
  <c r="A83" i="15"/>
  <c r="K82" i="15"/>
  <c r="G82" i="15"/>
  <c r="G89" i="15" s="1"/>
  <c r="A82" i="15"/>
  <c r="G81" i="15"/>
  <c r="G88" i="15" s="1"/>
  <c r="A81" i="15"/>
  <c r="G80" i="15"/>
  <c r="G78" i="15"/>
  <c r="A78" i="15"/>
  <c r="G77" i="15"/>
  <c r="G76" i="15"/>
  <c r="A76" i="15"/>
  <c r="G75" i="15"/>
  <c r="H9" i="15"/>
  <c r="B46" i="15"/>
  <c r="G44" i="15"/>
  <c r="G72" i="15" s="1"/>
  <c r="B44" i="15"/>
  <c r="B72" i="15" s="1"/>
  <c r="G71" i="15"/>
  <c r="B43" i="15"/>
  <c r="B71" i="15" s="1"/>
  <c r="G42" i="15"/>
  <c r="G70" i="15" s="1"/>
  <c r="B42" i="15"/>
  <c r="B70" i="15" s="1"/>
  <c r="G41" i="15"/>
  <c r="G69" i="15" s="1"/>
  <c r="B41" i="15"/>
  <c r="B69" i="15" s="1"/>
  <c r="G40" i="15"/>
  <c r="G68" i="15" s="1"/>
  <c r="B40" i="15"/>
  <c r="B68" i="15" s="1"/>
  <c r="G39" i="15"/>
  <c r="G67" i="15" s="1"/>
  <c r="B39" i="15"/>
  <c r="B67" i="15" s="1"/>
  <c r="G38" i="15"/>
  <c r="G66" i="15" s="1"/>
  <c r="B38" i="15"/>
  <c r="B66" i="15" s="1"/>
  <c r="G37" i="15"/>
  <c r="G65" i="15" s="1"/>
  <c r="B37" i="15"/>
  <c r="B65" i="15" s="1"/>
  <c r="G36" i="15"/>
  <c r="G64" i="15" s="1"/>
  <c r="B36" i="15"/>
  <c r="B64" i="15" s="1"/>
  <c r="G35" i="15"/>
  <c r="G63" i="15" s="1"/>
  <c r="B35" i="15"/>
  <c r="B63" i="15" s="1"/>
  <c r="G34" i="15"/>
  <c r="G62" i="15" s="1"/>
  <c r="B34" i="15"/>
  <c r="B62" i="15" s="1"/>
  <c r="G33" i="15"/>
  <c r="G61" i="15" s="1"/>
  <c r="B33" i="15"/>
  <c r="B61" i="15" s="1"/>
  <c r="G32" i="15"/>
  <c r="G60" i="15" s="1"/>
  <c r="B32" i="15"/>
  <c r="B60" i="15" s="1"/>
  <c r="G31" i="15"/>
  <c r="G59" i="15" s="1"/>
  <c r="B31" i="15"/>
  <c r="B59" i="15" s="1"/>
  <c r="G30" i="15"/>
  <c r="G58" i="15" s="1"/>
  <c r="B30" i="15"/>
  <c r="B58" i="15" s="1"/>
  <c r="G29" i="15"/>
  <c r="G57" i="15" s="1"/>
  <c r="B29" i="15"/>
  <c r="B57" i="15" s="1"/>
  <c r="G28" i="15"/>
  <c r="G56" i="15" s="1"/>
  <c r="B28" i="15"/>
  <c r="B56" i="15" s="1"/>
  <c r="G27" i="15"/>
  <c r="G55" i="15" s="1"/>
  <c r="B27" i="15"/>
  <c r="B55" i="15" s="1"/>
  <c r="G26" i="15"/>
  <c r="G54" i="15" s="1"/>
  <c r="B26" i="15"/>
  <c r="B54" i="15" s="1"/>
  <c r="G25" i="15"/>
  <c r="G53" i="15" s="1"/>
  <c r="B25" i="15"/>
  <c r="B53" i="15" s="1"/>
  <c r="G24" i="15"/>
  <c r="G52" i="15" s="1"/>
  <c r="B24" i="15"/>
  <c r="B52" i="15" s="1"/>
  <c r="G23" i="15"/>
  <c r="G51" i="15" s="1"/>
  <c r="B23" i="15"/>
  <c r="B51" i="15" s="1"/>
  <c r="G22" i="15"/>
  <c r="G50" i="15" s="1"/>
  <c r="B22" i="15"/>
  <c r="B50" i="15" s="1"/>
  <c r="A20" i="15"/>
  <c r="A18" i="15"/>
  <c r="G17" i="15"/>
  <c r="G16" i="15"/>
  <c r="H16" i="15" s="1"/>
  <c r="A16" i="15"/>
  <c r="G15" i="15"/>
  <c r="H15" i="15" s="1"/>
  <c r="A15" i="15"/>
  <c r="G14" i="15"/>
  <c r="A14" i="15"/>
  <c r="G12" i="15"/>
  <c r="F12" i="15"/>
  <c r="G10" i="15"/>
  <c r="A10" i="15"/>
  <c r="G9" i="15"/>
  <c r="A9" i="15"/>
  <c r="G8" i="15"/>
  <c r="A8" i="15"/>
  <c r="H6" i="15"/>
  <c r="A92" i="10"/>
  <c r="I91" i="10"/>
  <c r="A90" i="10"/>
  <c r="J89" i="10"/>
  <c r="H89" i="10"/>
  <c r="A88" i="10"/>
  <c r="G85" i="10"/>
  <c r="G92" i="10" s="1"/>
  <c r="A85" i="10"/>
  <c r="H84" i="10"/>
  <c r="H91" i="10" s="1"/>
  <c r="G84" i="10"/>
  <c r="G91" i="10" s="1"/>
  <c r="G83" i="10"/>
  <c r="G90" i="10" s="1"/>
  <c r="A83" i="10"/>
  <c r="K82" i="10"/>
  <c r="K89" i="10" s="1"/>
  <c r="G82" i="10"/>
  <c r="G89" i="10" s="1"/>
  <c r="A82" i="10"/>
  <c r="G81" i="10"/>
  <c r="G88" i="10" s="1"/>
  <c r="A81" i="10"/>
  <c r="G80" i="10"/>
  <c r="G78" i="10"/>
  <c r="A78" i="10"/>
  <c r="G77" i="10"/>
  <c r="G76" i="10"/>
  <c r="A76" i="10"/>
  <c r="G75" i="10"/>
  <c r="B61" i="10"/>
  <c r="B46" i="10"/>
  <c r="G44" i="10"/>
  <c r="G72" i="10" s="1"/>
  <c r="B44" i="10"/>
  <c r="B72" i="10" s="1"/>
  <c r="G43" i="10"/>
  <c r="G71" i="10" s="1"/>
  <c r="B43" i="10"/>
  <c r="B71" i="10" s="1"/>
  <c r="G42" i="10"/>
  <c r="G70" i="10" s="1"/>
  <c r="B42" i="10"/>
  <c r="B70" i="10" s="1"/>
  <c r="G41" i="10"/>
  <c r="G69" i="10" s="1"/>
  <c r="B41" i="10"/>
  <c r="B69" i="10" s="1"/>
  <c r="G40" i="10"/>
  <c r="G68" i="10" s="1"/>
  <c r="B40" i="10"/>
  <c r="B68" i="10" s="1"/>
  <c r="G39" i="10"/>
  <c r="G67" i="10" s="1"/>
  <c r="B39" i="10"/>
  <c r="B67" i="10" s="1"/>
  <c r="G38" i="10"/>
  <c r="G66" i="10" s="1"/>
  <c r="B38" i="10"/>
  <c r="B66" i="10" s="1"/>
  <c r="G37" i="10"/>
  <c r="G65" i="10" s="1"/>
  <c r="B37" i="10"/>
  <c r="B65" i="10" s="1"/>
  <c r="G36" i="10"/>
  <c r="G64" i="10" s="1"/>
  <c r="B36" i="10"/>
  <c r="B64" i="10" s="1"/>
  <c r="G35" i="10"/>
  <c r="G63" i="10" s="1"/>
  <c r="B35" i="10"/>
  <c r="B63" i="10" s="1"/>
  <c r="G34" i="10"/>
  <c r="G62" i="10" s="1"/>
  <c r="B34" i="10"/>
  <c r="B62" i="10" s="1"/>
  <c r="G33" i="10"/>
  <c r="G61" i="10" s="1"/>
  <c r="B33" i="10"/>
  <c r="G32" i="10"/>
  <c r="G60" i="10" s="1"/>
  <c r="B32" i="10"/>
  <c r="B60" i="10" s="1"/>
  <c r="G31" i="10"/>
  <c r="G59" i="10" s="1"/>
  <c r="B31" i="10"/>
  <c r="B59" i="10" s="1"/>
  <c r="G30" i="10"/>
  <c r="G58" i="10" s="1"/>
  <c r="B30" i="10"/>
  <c r="B58" i="10" s="1"/>
  <c r="G29" i="10"/>
  <c r="G57" i="10" s="1"/>
  <c r="B29" i="10"/>
  <c r="B57" i="10" s="1"/>
  <c r="G28" i="10"/>
  <c r="G56" i="10" s="1"/>
  <c r="B28" i="10"/>
  <c r="B56" i="10" s="1"/>
  <c r="G27" i="10"/>
  <c r="G55" i="10" s="1"/>
  <c r="B27" i="10"/>
  <c r="B55" i="10" s="1"/>
  <c r="G26" i="10"/>
  <c r="G54" i="10" s="1"/>
  <c r="B26" i="10"/>
  <c r="B54" i="10" s="1"/>
  <c r="G25" i="10"/>
  <c r="G53" i="10" s="1"/>
  <c r="B25" i="10"/>
  <c r="B53" i="10" s="1"/>
  <c r="G24" i="10"/>
  <c r="G52" i="10" s="1"/>
  <c r="B24" i="10"/>
  <c r="B52" i="10" s="1"/>
  <c r="G23" i="10"/>
  <c r="G51" i="10" s="1"/>
  <c r="B23" i="10"/>
  <c r="B51" i="10" s="1"/>
  <c r="G22" i="10"/>
  <c r="G50" i="10" s="1"/>
  <c r="B22" i="10"/>
  <c r="B50" i="10" s="1"/>
  <c r="A20" i="10"/>
  <c r="A18" i="10"/>
  <c r="G17" i="10"/>
  <c r="G16" i="10"/>
  <c r="H16" i="10" s="1"/>
  <c r="A16" i="10"/>
  <c r="G15" i="10"/>
  <c r="H15" i="10" s="1"/>
  <c r="A15" i="10"/>
  <c r="G14" i="10"/>
  <c r="H14" i="10" s="1"/>
  <c r="A14" i="10"/>
  <c r="G12" i="10"/>
  <c r="F12" i="10"/>
  <c r="G10" i="10"/>
  <c r="A10" i="10"/>
  <c r="G9" i="10"/>
  <c r="A9" i="10"/>
  <c r="G8" i="10"/>
  <c r="A8" i="10"/>
  <c r="H6" i="10"/>
  <c r="A92" i="11"/>
  <c r="I91" i="11"/>
  <c r="A90" i="11"/>
  <c r="J89" i="11"/>
  <c r="H89" i="11"/>
  <c r="A88" i="11"/>
  <c r="G85" i="11"/>
  <c r="G92" i="11" s="1"/>
  <c r="A85" i="11"/>
  <c r="H84" i="11"/>
  <c r="H91" i="11" s="1"/>
  <c r="G84" i="11"/>
  <c r="G91" i="11" s="1"/>
  <c r="G83" i="11"/>
  <c r="G90" i="11" s="1"/>
  <c r="A83" i="11"/>
  <c r="K82" i="11"/>
  <c r="K89" i="11" s="1"/>
  <c r="G82" i="11"/>
  <c r="G89" i="11" s="1"/>
  <c r="A82" i="11"/>
  <c r="G81" i="11"/>
  <c r="G88" i="11" s="1"/>
  <c r="A81" i="11"/>
  <c r="G80" i="11"/>
  <c r="G78" i="11"/>
  <c r="A78" i="11"/>
  <c r="G77" i="11"/>
  <c r="G76" i="11"/>
  <c r="A76" i="11"/>
  <c r="G75" i="11"/>
  <c r="B52" i="11"/>
  <c r="B46" i="11"/>
  <c r="G44" i="11"/>
  <c r="G72" i="11" s="1"/>
  <c r="B44" i="11"/>
  <c r="B72" i="11" s="1"/>
  <c r="G43" i="11"/>
  <c r="G71" i="11" s="1"/>
  <c r="B43" i="11"/>
  <c r="B71" i="11" s="1"/>
  <c r="G42" i="11"/>
  <c r="G70" i="11" s="1"/>
  <c r="B42" i="11"/>
  <c r="B70" i="11" s="1"/>
  <c r="G41" i="11"/>
  <c r="G69" i="11" s="1"/>
  <c r="B41" i="11"/>
  <c r="B69" i="11" s="1"/>
  <c r="G40" i="11"/>
  <c r="G68" i="11" s="1"/>
  <c r="B40" i="11"/>
  <c r="B68" i="11" s="1"/>
  <c r="G39" i="11"/>
  <c r="G67" i="11" s="1"/>
  <c r="B39" i="11"/>
  <c r="B67" i="11" s="1"/>
  <c r="G38" i="11"/>
  <c r="G66" i="11" s="1"/>
  <c r="B38" i="11"/>
  <c r="B66" i="11" s="1"/>
  <c r="G37" i="11"/>
  <c r="G65" i="11" s="1"/>
  <c r="B37" i="11"/>
  <c r="B65" i="11" s="1"/>
  <c r="G36" i="11"/>
  <c r="G64" i="11" s="1"/>
  <c r="B36" i="11"/>
  <c r="B64" i="11" s="1"/>
  <c r="G35" i="11"/>
  <c r="G63" i="11" s="1"/>
  <c r="B35" i="11"/>
  <c r="B63" i="11" s="1"/>
  <c r="G34" i="11"/>
  <c r="G62" i="11" s="1"/>
  <c r="B34" i="11"/>
  <c r="B62" i="11" s="1"/>
  <c r="G33" i="11"/>
  <c r="G61" i="11" s="1"/>
  <c r="B33" i="11"/>
  <c r="B61" i="11" s="1"/>
  <c r="G32" i="11"/>
  <c r="G60" i="11" s="1"/>
  <c r="B32" i="11"/>
  <c r="B60" i="11" s="1"/>
  <c r="G31" i="11"/>
  <c r="G59" i="11" s="1"/>
  <c r="B31" i="11"/>
  <c r="B59" i="11" s="1"/>
  <c r="G30" i="11"/>
  <c r="G58" i="11" s="1"/>
  <c r="B30" i="11"/>
  <c r="B58" i="11" s="1"/>
  <c r="G29" i="11"/>
  <c r="G57" i="11" s="1"/>
  <c r="B29" i="11"/>
  <c r="B57" i="11" s="1"/>
  <c r="G28" i="11"/>
  <c r="G56" i="11" s="1"/>
  <c r="B28" i="11"/>
  <c r="B56" i="11" s="1"/>
  <c r="G27" i="11"/>
  <c r="G55" i="11" s="1"/>
  <c r="B27" i="11"/>
  <c r="B55" i="11" s="1"/>
  <c r="G26" i="11"/>
  <c r="G54" i="11" s="1"/>
  <c r="B26" i="11"/>
  <c r="B54" i="11" s="1"/>
  <c r="G25" i="11"/>
  <c r="G53" i="11" s="1"/>
  <c r="B25" i="11"/>
  <c r="B53" i="11" s="1"/>
  <c r="G24" i="11"/>
  <c r="G52" i="11" s="1"/>
  <c r="B24" i="11"/>
  <c r="G23" i="11"/>
  <c r="G51" i="11" s="1"/>
  <c r="B23" i="11"/>
  <c r="B51" i="11" s="1"/>
  <c r="G22" i="11"/>
  <c r="G50" i="11" s="1"/>
  <c r="B22" i="11"/>
  <c r="B50" i="11" s="1"/>
  <c r="A20" i="11"/>
  <c r="A18" i="11"/>
  <c r="G17" i="11"/>
  <c r="G16" i="11"/>
  <c r="H16" i="11" s="1"/>
  <c r="A16" i="11"/>
  <c r="G15" i="11"/>
  <c r="H15" i="11" s="1"/>
  <c r="A15" i="11"/>
  <c r="G14" i="11"/>
  <c r="H14" i="11" s="1"/>
  <c r="A14" i="11"/>
  <c r="G12" i="11"/>
  <c r="F12" i="11"/>
  <c r="G10" i="11"/>
  <c r="A10" i="11"/>
  <c r="G9" i="11"/>
  <c r="A9" i="11"/>
  <c r="G8" i="11"/>
  <c r="A8" i="11"/>
  <c r="H6" i="11"/>
  <c r="A92" i="16"/>
  <c r="I91" i="16"/>
  <c r="A90" i="16"/>
  <c r="J89" i="16"/>
  <c r="H89" i="16"/>
  <c r="A88" i="16"/>
  <c r="G85" i="16"/>
  <c r="G92" i="16" s="1"/>
  <c r="A85" i="16"/>
  <c r="H84" i="16"/>
  <c r="H91" i="16" s="1"/>
  <c r="G84" i="16"/>
  <c r="G91" i="16" s="1"/>
  <c r="G83" i="16"/>
  <c r="G90" i="16" s="1"/>
  <c r="A83" i="16"/>
  <c r="K82" i="16"/>
  <c r="K89" i="16" s="1"/>
  <c r="G82" i="16"/>
  <c r="G89" i="16" s="1"/>
  <c r="A82" i="16"/>
  <c r="G81" i="16"/>
  <c r="G88" i="16" s="1"/>
  <c r="A81" i="16"/>
  <c r="G80" i="16"/>
  <c r="G78" i="16"/>
  <c r="A78" i="16"/>
  <c r="G77" i="16"/>
  <c r="G76" i="16"/>
  <c r="A76" i="16"/>
  <c r="G75" i="16"/>
  <c r="H9" i="16"/>
  <c r="B46" i="16"/>
  <c r="G44" i="16"/>
  <c r="G72" i="16" s="1"/>
  <c r="B44" i="16"/>
  <c r="B72" i="16" s="1"/>
  <c r="G43" i="16"/>
  <c r="G71" i="16" s="1"/>
  <c r="B43" i="16"/>
  <c r="B71" i="16" s="1"/>
  <c r="G42" i="16"/>
  <c r="G70" i="16" s="1"/>
  <c r="B42" i="16"/>
  <c r="B70" i="16" s="1"/>
  <c r="G41" i="16"/>
  <c r="G69" i="16" s="1"/>
  <c r="B41" i="16"/>
  <c r="B69" i="16" s="1"/>
  <c r="G40" i="16"/>
  <c r="G68" i="16" s="1"/>
  <c r="B40" i="16"/>
  <c r="B68" i="16" s="1"/>
  <c r="G39" i="16"/>
  <c r="G67" i="16" s="1"/>
  <c r="B39" i="16"/>
  <c r="B67" i="16" s="1"/>
  <c r="G38" i="16"/>
  <c r="G66" i="16" s="1"/>
  <c r="B38" i="16"/>
  <c r="B66" i="16" s="1"/>
  <c r="G37" i="16"/>
  <c r="G65" i="16" s="1"/>
  <c r="B37" i="16"/>
  <c r="B65" i="16" s="1"/>
  <c r="G36" i="16"/>
  <c r="G64" i="16" s="1"/>
  <c r="B36" i="16"/>
  <c r="B64" i="16" s="1"/>
  <c r="G35" i="16"/>
  <c r="G63" i="16" s="1"/>
  <c r="B35" i="16"/>
  <c r="B63" i="16" s="1"/>
  <c r="G34" i="16"/>
  <c r="G62" i="16" s="1"/>
  <c r="B34" i="16"/>
  <c r="B62" i="16" s="1"/>
  <c r="G33" i="16"/>
  <c r="G61" i="16" s="1"/>
  <c r="B33" i="16"/>
  <c r="B61" i="16" s="1"/>
  <c r="G32" i="16"/>
  <c r="G60" i="16" s="1"/>
  <c r="B32" i="16"/>
  <c r="B60" i="16" s="1"/>
  <c r="G31" i="16"/>
  <c r="G59" i="16" s="1"/>
  <c r="B31" i="16"/>
  <c r="B59" i="16" s="1"/>
  <c r="G30" i="16"/>
  <c r="G58" i="16" s="1"/>
  <c r="B30" i="16"/>
  <c r="B58" i="16" s="1"/>
  <c r="G29" i="16"/>
  <c r="G57" i="16" s="1"/>
  <c r="B29" i="16"/>
  <c r="B57" i="16" s="1"/>
  <c r="G28" i="16"/>
  <c r="G56" i="16" s="1"/>
  <c r="B28" i="16"/>
  <c r="B56" i="16" s="1"/>
  <c r="G27" i="16"/>
  <c r="G55" i="16" s="1"/>
  <c r="B27" i="16"/>
  <c r="B55" i="16" s="1"/>
  <c r="G26" i="16"/>
  <c r="G54" i="16" s="1"/>
  <c r="B26" i="16"/>
  <c r="B54" i="16" s="1"/>
  <c r="G25" i="16"/>
  <c r="G53" i="16" s="1"/>
  <c r="B25" i="16"/>
  <c r="B53" i="16" s="1"/>
  <c r="G24" i="16"/>
  <c r="G52" i="16" s="1"/>
  <c r="B24" i="16"/>
  <c r="B52" i="16" s="1"/>
  <c r="G23" i="16"/>
  <c r="G51" i="16" s="1"/>
  <c r="B23" i="16"/>
  <c r="B51" i="16" s="1"/>
  <c r="G22" i="16"/>
  <c r="G50" i="16" s="1"/>
  <c r="B22" i="16"/>
  <c r="B50" i="16" s="1"/>
  <c r="A20" i="16"/>
  <c r="A18" i="16"/>
  <c r="G17" i="16"/>
  <c r="G16" i="16"/>
  <c r="H16" i="16" s="1"/>
  <c r="A16" i="16"/>
  <c r="G15" i="16"/>
  <c r="H15" i="16" s="1"/>
  <c r="A15" i="16"/>
  <c r="G14" i="16"/>
  <c r="H14" i="16" s="1"/>
  <c r="A14" i="16"/>
  <c r="G12" i="16"/>
  <c r="F12" i="16"/>
  <c r="H10" i="16"/>
  <c r="G10" i="16"/>
  <c r="A10" i="16"/>
  <c r="G9" i="16"/>
  <c r="A9" i="16"/>
  <c r="G8" i="16"/>
  <c r="A8" i="16"/>
  <c r="H6" i="16"/>
  <c r="A92" i="3"/>
  <c r="I91" i="3"/>
  <c r="A90" i="3"/>
  <c r="J89" i="3"/>
  <c r="H89" i="3"/>
  <c r="A88" i="3"/>
  <c r="G85" i="3"/>
  <c r="G92" i="3" s="1"/>
  <c r="A85" i="3"/>
  <c r="H84" i="3"/>
  <c r="H91" i="3" s="1"/>
  <c r="G84" i="3"/>
  <c r="G91" i="3" s="1"/>
  <c r="G83" i="3"/>
  <c r="G90" i="3" s="1"/>
  <c r="A83" i="3"/>
  <c r="K82" i="3"/>
  <c r="K89" i="3" s="1"/>
  <c r="G82" i="3"/>
  <c r="G89" i="3" s="1"/>
  <c r="A82" i="3"/>
  <c r="G81" i="3"/>
  <c r="G88" i="3" s="1"/>
  <c r="A81" i="3"/>
  <c r="G80" i="3"/>
  <c r="G78" i="3"/>
  <c r="A78" i="3"/>
  <c r="G77" i="3"/>
  <c r="G76" i="3"/>
  <c r="A76" i="3"/>
  <c r="G75" i="3"/>
  <c r="H10" i="3"/>
  <c r="B46" i="3"/>
  <c r="G44" i="3"/>
  <c r="G72" i="3" s="1"/>
  <c r="B44" i="3"/>
  <c r="B72" i="3" s="1"/>
  <c r="G43" i="3"/>
  <c r="G71" i="3" s="1"/>
  <c r="B43" i="3"/>
  <c r="B71" i="3" s="1"/>
  <c r="G42" i="3"/>
  <c r="G70" i="3" s="1"/>
  <c r="B42" i="3"/>
  <c r="B70" i="3" s="1"/>
  <c r="G41" i="3"/>
  <c r="G69" i="3" s="1"/>
  <c r="B41" i="3"/>
  <c r="B69" i="3" s="1"/>
  <c r="G40" i="3"/>
  <c r="G68" i="3" s="1"/>
  <c r="B40" i="3"/>
  <c r="B68" i="3" s="1"/>
  <c r="G39" i="3"/>
  <c r="G67" i="3" s="1"/>
  <c r="B39" i="3"/>
  <c r="B67" i="3" s="1"/>
  <c r="G38" i="3"/>
  <c r="G66" i="3" s="1"/>
  <c r="B38" i="3"/>
  <c r="B66" i="3" s="1"/>
  <c r="G37" i="3"/>
  <c r="G65" i="3" s="1"/>
  <c r="B37" i="3"/>
  <c r="B65" i="3" s="1"/>
  <c r="G36" i="3"/>
  <c r="G64" i="3" s="1"/>
  <c r="B36" i="3"/>
  <c r="B64" i="3" s="1"/>
  <c r="G35" i="3"/>
  <c r="G63" i="3" s="1"/>
  <c r="B35" i="3"/>
  <c r="B63" i="3" s="1"/>
  <c r="G34" i="3"/>
  <c r="G62" i="3" s="1"/>
  <c r="B34" i="3"/>
  <c r="B62" i="3" s="1"/>
  <c r="G33" i="3"/>
  <c r="G61" i="3" s="1"/>
  <c r="B33" i="3"/>
  <c r="B61" i="3" s="1"/>
  <c r="G32" i="3"/>
  <c r="G60" i="3" s="1"/>
  <c r="B32" i="3"/>
  <c r="B60" i="3" s="1"/>
  <c r="G31" i="3"/>
  <c r="G59" i="3" s="1"/>
  <c r="B31" i="3"/>
  <c r="B59" i="3" s="1"/>
  <c r="G30" i="3"/>
  <c r="G58" i="3" s="1"/>
  <c r="B30" i="3"/>
  <c r="B58" i="3" s="1"/>
  <c r="G29" i="3"/>
  <c r="G57" i="3" s="1"/>
  <c r="B29" i="3"/>
  <c r="B57" i="3" s="1"/>
  <c r="G28" i="3"/>
  <c r="G56" i="3" s="1"/>
  <c r="B28" i="3"/>
  <c r="B56" i="3" s="1"/>
  <c r="G27" i="3"/>
  <c r="G55" i="3" s="1"/>
  <c r="B27" i="3"/>
  <c r="B55" i="3" s="1"/>
  <c r="G26" i="3"/>
  <c r="G54" i="3" s="1"/>
  <c r="B26" i="3"/>
  <c r="B54" i="3" s="1"/>
  <c r="G25" i="3"/>
  <c r="G53" i="3" s="1"/>
  <c r="B25" i="3"/>
  <c r="B53" i="3" s="1"/>
  <c r="G24" i="3"/>
  <c r="G52" i="3" s="1"/>
  <c r="B24" i="3"/>
  <c r="B52" i="3" s="1"/>
  <c r="G23" i="3"/>
  <c r="G51" i="3" s="1"/>
  <c r="B23" i="3"/>
  <c r="B51" i="3" s="1"/>
  <c r="G22" i="3"/>
  <c r="G50" i="3" s="1"/>
  <c r="B22" i="3"/>
  <c r="B50" i="3" s="1"/>
  <c r="A20" i="3"/>
  <c r="A18" i="3"/>
  <c r="G17" i="3"/>
  <c r="G16" i="3"/>
  <c r="H16" i="3" s="1"/>
  <c r="A16" i="3"/>
  <c r="G15" i="3"/>
  <c r="H15" i="3" s="1"/>
  <c r="A15" i="3"/>
  <c r="G14" i="3"/>
  <c r="H14" i="3" s="1"/>
  <c r="A14" i="3"/>
  <c r="G12" i="3"/>
  <c r="F12" i="3"/>
  <c r="G10" i="3"/>
  <c r="A10" i="3"/>
  <c r="H9" i="3"/>
  <c r="H18" i="3" s="1"/>
  <c r="I76" i="3" s="1"/>
  <c r="G9" i="3"/>
  <c r="A9" i="3"/>
  <c r="G8" i="3"/>
  <c r="A8" i="3"/>
  <c r="H6" i="3"/>
  <c r="K82" i="2"/>
  <c r="K89" i="2" s="1"/>
  <c r="I91" i="2"/>
  <c r="G85" i="2"/>
  <c r="G92" i="2" s="1"/>
  <c r="G84" i="2"/>
  <c r="G91" i="2" s="1"/>
  <c r="G83" i="2"/>
  <c r="G90" i="2" s="1"/>
  <c r="G82" i="2"/>
  <c r="G89" i="2" s="1"/>
  <c r="G81" i="2"/>
  <c r="G88" i="2" s="1"/>
  <c r="G78" i="2"/>
  <c r="G77" i="2"/>
  <c r="G76" i="2"/>
  <c r="G75" i="2"/>
  <c r="G80" i="2"/>
  <c r="G91" i="14"/>
  <c r="G92" i="14"/>
  <c r="G93" i="14"/>
  <c r="G94" i="14"/>
  <c r="G90" i="14"/>
  <c r="H91" i="14"/>
  <c r="J91" i="14"/>
  <c r="K91" i="14"/>
  <c r="A90" i="2"/>
  <c r="A92" i="2"/>
  <c r="A88" i="2"/>
  <c r="A85" i="2"/>
  <c r="A83" i="2"/>
  <c r="A82" i="2"/>
  <c r="A81" i="2"/>
  <c r="A78" i="2"/>
  <c r="A76" i="2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G44" i="2"/>
  <c r="G72" i="2" s="1"/>
  <c r="G37" i="2"/>
  <c r="G65" i="2" s="1"/>
  <c r="G38" i="2"/>
  <c r="G66" i="2" s="1"/>
  <c r="G39" i="2"/>
  <c r="G67" i="2" s="1"/>
  <c r="G40" i="2"/>
  <c r="G68" i="2" s="1"/>
  <c r="G41" i="2"/>
  <c r="G69" i="2" s="1"/>
  <c r="G42" i="2"/>
  <c r="G70" i="2" s="1"/>
  <c r="G43" i="2"/>
  <c r="G71" i="2" s="1"/>
  <c r="G23" i="2"/>
  <c r="G51" i="2" s="1"/>
  <c r="G24" i="2"/>
  <c r="G52" i="2" s="1"/>
  <c r="G25" i="2"/>
  <c r="G53" i="2" s="1"/>
  <c r="G26" i="2"/>
  <c r="G54" i="2" s="1"/>
  <c r="G27" i="2"/>
  <c r="G55" i="2" s="1"/>
  <c r="G28" i="2"/>
  <c r="G56" i="2" s="1"/>
  <c r="G29" i="2"/>
  <c r="G57" i="2" s="1"/>
  <c r="G30" i="2"/>
  <c r="G58" i="2" s="1"/>
  <c r="G31" i="2"/>
  <c r="G59" i="2" s="1"/>
  <c r="G32" i="2"/>
  <c r="G60" i="2" s="1"/>
  <c r="G33" i="2"/>
  <c r="G61" i="2" s="1"/>
  <c r="G34" i="2"/>
  <c r="G62" i="2" s="1"/>
  <c r="G35" i="2"/>
  <c r="G63" i="2" s="1"/>
  <c r="G36" i="2"/>
  <c r="G64" i="2" s="1"/>
  <c r="G22" i="2"/>
  <c r="G50" i="2" s="1"/>
  <c r="B41" i="2"/>
  <c r="B69" i="2" s="1"/>
  <c r="B42" i="2"/>
  <c r="B70" i="2" s="1"/>
  <c r="B43" i="2"/>
  <c r="B71" i="2" s="1"/>
  <c r="B44" i="2"/>
  <c r="B72" i="2" s="1"/>
  <c r="B23" i="2"/>
  <c r="B51" i="2" s="1"/>
  <c r="B24" i="2"/>
  <c r="B52" i="2" s="1"/>
  <c r="B25" i="2"/>
  <c r="B53" i="2" s="1"/>
  <c r="B26" i="2"/>
  <c r="B54" i="2" s="1"/>
  <c r="B27" i="2"/>
  <c r="B55" i="2" s="1"/>
  <c r="B28" i="2"/>
  <c r="B56" i="2" s="1"/>
  <c r="B29" i="2"/>
  <c r="B57" i="2" s="1"/>
  <c r="B30" i="2"/>
  <c r="B58" i="2" s="1"/>
  <c r="B31" i="2"/>
  <c r="B59" i="2" s="1"/>
  <c r="B32" i="2"/>
  <c r="B60" i="2" s="1"/>
  <c r="B33" i="2"/>
  <c r="B61" i="2" s="1"/>
  <c r="B34" i="2"/>
  <c r="B62" i="2" s="1"/>
  <c r="B35" i="2"/>
  <c r="B63" i="2" s="1"/>
  <c r="B36" i="2"/>
  <c r="B64" i="2" s="1"/>
  <c r="B37" i="2"/>
  <c r="B65" i="2" s="1"/>
  <c r="B38" i="2"/>
  <c r="B66" i="2" s="1"/>
  <c r="B39" i="2"/>
  <c r="B67" i="2" s="1"/>
  <c r="B40" i="2"/>
  <c r="B68" i="2" s="1"/>
  <c r="B46" i="2"/>
  <c r="E46" i="2"/>
  <c r="H9" i="2" s="1"/>
  <c r="B22" i="2"/>
  <c r="B50" i="2" s="1"/>
  <c r="A20" i="2"/>
  <c r="G17" i="2"/>
  <c r="G15" i="2"/>
  <c r="H15" i="2" s="1"/>
  <c r="G16" i="2"/>
  <c r="H16" i="2" s="1"/>
  <c r="G14" i="2"/>
  <c r="H14" i="2" s="1"/>
  <c r="G12" i="2"/>
  <c r="F12" i="2"/>
  <c r="A18" i="2"/>
  <c r="A14" i="2"/>
  <c r="A15" i="2"/>
  <c r="A16" i="2"/>
  <c r="A9" i="2"/>
  <c r="A10" i="2"/>
  <c r="A8" i="2"/>
  <c r="G9" i="2"/>
  <c r="G10" i="2"/>
  <c r="G8" i="2"/>
  <c r="H6" i="2"/>
  <c r="J89" i="2"/>
  <c r="H89" i="2"/>
  <c r="H84" i="2"/>
  <c r="H91" i="2" s="1"/>
  <c r="H10" i="2"/>
  <c r="A4" i="2"/>
  <c r="I83" i="3" l="1"/>
  <c r="I78" i="3"/>
  <c r="H18" i="15"/>
  <c r="I76" i="15" s="1"/>
  <c r="I78" i="15" s="1"/>
  <c r="I89" i="3"/>
  <c r="I82" i="4"/>
  <c r="H18" i="6"/>
  <c r="I76" i="6" s="1"/>
  <c r="I78" i="6" s="1"/>
  <c r="H18" i="11"/>
  <c r="I76" i="11" s="1"/>
  <c r="I78" i="11" s="1"/>
  <c r="H18" i="7"/>
  <c r="I76" i="7" s="1"/>
  <c r="I78" i="7" s="1"/>
  <c r="H18" i="16"/>
  <c r="I76" i="16" s="1"/>
  <c r="H18" i="8"/>
  <c r="I76" i="8" s="1"/>
  <c r="I78" i="8" s="1"/>
  <c r="H18" i="2"/>
  <c r="I76" i="2" s="1"/>
  <c r="I78" i="2" s="1"/>
  <c r="H18" i="10"/>
  <c r="I76" i="10" s="1"/>
  <c r="I78" i="10" s="1"/>
  <c r="H18" i="5"/>
  <c r="I76" i="5" s="1"/>
  <c r="I78" i="5" s="1"/>
  <c r="B52" i="14"/>
  <c r="H86" i="14"/>
  <c r="H93" i="14" s="1"/>
  <c r="A82" i="14"/>
  <c r="A79" i="14"/>
  <c r="E8" i="13" l="1"/>
  <c r="I90" i="3"/>
  <c r="H17" i="4" s="1"/>
  <c r="H18" i="4" s="1"/>
  <c r="I76" i="4" s="1"/>
  <c r="I78" i="4" s="1"/>
  <c r="A77" i="2"/>
  <c r="A77" i="4"/>
  <c r="A77" i="5"/>
  <c r="A77" i="3"/>
  <c r="A77" i="16"/>
  <c r="A77" i="7"/>
  <c r="A77" i="6"/>
  <c r="A77" i="8"/>
  <c r="A77" i="15"/>
  <c r="A77" i="11"/>
  <c r="A77" i="10"/>
  <c r="A80" i="2"/>
  <c r="A80" i="4"/>
  <c r="A80" i="5"/>
  <c r="A80" i="3"/>
  <c r="A80" i="6"/>
  <c r="A80" i="16"/>
  <c r="A80" i="7"/>
  <c r="A80" i="8"/>
  <c r="A80" i="15"/>
  <c r="A80" i="11"/>
  <c r="A80" i="10"/>
  <c r="I83" i="5"/>
  <c r="I90" i="5" s="1"/>
  <c r="E10" i="13"/>
  <c r="I82" i="5"/>
  <c r="I89" i="4"/>
  <c r="I83" i="10"/>
  <c r="I90" i="10" s="1"/>
  <c r="E15" i="13"/>
  <c r="I83" i="15"/>
  <c r="I90" i="15" s="1"/>
  <c r="E14" i="13"/>
  <c r="I83" i="8"/>
  <c r="I90" i="8" s="1"/>
  <c r="E13" i="13"/>
  <c r="I83" i="7"/>
  <c r="I90" i="7" s="1"/>
  <c r="E12" i="13"/>
  <c r="I83" i="6"/>
  <c r="I90" i="6" s="1"/>
  <c r="E11" i="13"/>
  <c r="I83" i="11"/>
  <c r="I90" i="11" s="1"/>
  <c r="E16" i="13"/>
  <c r="I78" i="16"/>
  <c r="E17" i="13" s="1"/>
  <c r="I83" i="2"/>
  <c r="I90" i="2" s="1"/>
  <c r="E7" i="13"/>
  <c r="I83" i="4" l="1"/>
  <c r="I90" i="4" s="1"/>
  <c r="E9" i="13"/>
  <c r="I89" i="5"/>
  <c r="I82" i="6"/>
  <c r="I83" i="16"/>
  <c r="I90" i="16" s="1"/>
  <c r="H10" i="14"/>
  <c r="H18" i="14" s="1"/>
  <c r="I89" i="6" l="1"/>
  <c r="I82" i="7"/>
  <c r="I78" i="14"/>
  <c r="I80" i="14" s="1"/>
  <c r="E6" i="13" s="1"/>
  <c r="E18" i="13" s="1"/>
  <c r="I89" i="7" l="1"/>
  <c r="I82" i="8"/>
  <c r="I85" i="14"/>
  <c r="I92" i="14" s="1"/>
  <c r="A1" i="16"/>
  <c r="I82" i="15" l="1"/>
  <c r="I89" i="8"/>
  <c r="C17" i="13"/>
  <c r="C16" i="13"/>
  <c r="C11" i="13"/>
  <c r="C7" i="13"/>
  <c r="I82" i="10" l="1"/>
  <c r="I89" i="15"/>
  <c r="B15" i="13"/>
  <c r="C14" i="13"/>
  <c r="C12" i="13"/>
  <c r="C8" i="13"/>
  <c r="C9" i="13"/>
  <c r="C10" i="13"/>
  <c r="C15" i="13"/>
  <c r="C13" i="13"/>
  <c r="B13" i="13"/>
  <c r="B10" i="13"/>
  <c r="B12" i="13"/>
  <c r="B14" i="13"/>
  <c r="B8" i="13"/>
  <c r="B9" i="13"/>
  <c r="I89" i="10" l="1"/>
  <c r="I82" i="11"/>
  <c r="B16" i="13"/>
  <c r="B11" i="13"/>
  <c r="B17" i="13"/>
  <c r="B7" i="13"/>
  <c r="I82" i="16" l="1"/>
  <c r="I89" i="16" s="1"/>
  <c r="I89" i="11"/>
  <c r="A4" i="3"/>
  <c r="A4" i="4" s="1"/>
  <c r="A4" i="5" s="1"/>
  <c r="A4" i="6" s="1"/>
  <c r="A4" i="7" s="1"/>
  <c r="A4" i="8" s="1"/>
  <c r="A4" i="15" s="1"/>
  <c r="A4" i="10" s="1"/>
  <c r="A4" i="11" s="1"/>
  <c r="A4" i="16" s="1"/>
  <c r="A2" i="16" l="1"/>
  <c r="I89" i="2" l="1"/>
  <c r="A2" i="15"/>
  <c r="A1" i="15"/>
  <c r="I91" i="14" l="1"/>
  <c r="D8" i="13"/>
  <c r="D10" i="13" l="1"/>
  <c r="A1" i="13"/>
  <c r="A2" i="4"/>
  <c r="A1" i="4"/>
  <c r="A2" i="5"/>
  <c r="A1" i="5"/>
  <c r="A2" i="6"/>
  <c r="A1" i="6"/>
  <c r="A2" i="7"/>
  <c r="A1" i="7"/>
  <c r="A2" i="8"/>
  <c r="A1" i="8"/>
  <c r="A2" i="10"/>
  <c r="A1" i="10"/>
  <c r="A2" i="11"/>
  <c r="A1" i="11"/>
  <c r="A2" i="3"/>
  <c r="A1" i="3"/>
  <c r="A2" i="2"/>
  <c r="A1" i="2"/>
  <c r="D14" i="13" l="1"/>
  <c r="D9" i="13"/>
  <c r="D17" i="13"/>
  <c r="D7" i="13" l="1"/>
  <c r="D16" i="13"/>
  <c r="D15" i="13"/>
  <c r="D13" i="13"/>
  <c r="D12" i="13"/>
  <c r="D11" i="13"/>
  <c r="C6" i="13" l="1"/>
  <c r="C18" i="13" s="1"/>
  <c r="B6" i="13"/>
  <c r="B18" i="13" s="1"/>
  <c r="D20" i="13" s="1"/>
  <c r="D6" i="13" l="1"/>
  <c r="D18" i="13" s="1"/>
  <c r="E20" i="13" s="1"/>
</calcChain>
</file>

<file path=xl/sharedStrings.xml><?xml version="1.0" encoding="utf-8"?>
<sst xmlns="http://schemas.openxmlformats.org/spreadsheetml/2006/main" count="249" uniqueCount="158">
  <si>
    <t>Less Current Unpaid Expenses:</t>
  </si>
  <si>
    <t>Less Estimated Monthly Expenses:</t>
  </si>
  <si>
    <t>Please make check payable to</t>
  </si>
  <si>
    <t>and mail to:</t>
  </si>
  <si>
    <t>Requested Funding</t>
  </si>
  <si>
    <t>Developer Contribution</t>
  </si>
  <si>
    <t xml:space="preserve">Vendor #: </t>
  </si>
  <si>
    <t>MONTH</t>
  </si>
  <si>
    <t>DEFICIT FUNDED</t>
  </si>
  <si>
    <t>DEVELOPER LOAN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</si>
  <si>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</si>
  <si>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</si>
  <si>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</si>
  <si>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</si>
  <si>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</si>
  <si>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</si>
  <si>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</si>
  <si>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</si>
  <si>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</si>
  <si>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</si>
  <si>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</si>
  <si>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</si>
  <si>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</si>
  <si>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Deficit Funding Request</t>
  </si>
  <si>
    <t>For HOA Accounting Use</t>
  </si>
  <si>
    <t>Electric</t>
  </si>
  <si>
    <t>Amount Due:</t>
  </si>
  <si>
    <t>HOA insurance</t>
  </si>
  <si>
    <t>Windom Solutions (Stan)</t>
  </si>
  <si>
    <t>Invoice #:</t>
  </si>
  <si>
    <t>Description:</t>
  </si>
  <si>
    <t>Job Code:</t>
  </si>
  <si>
    <t>deficit funding</t>
  </si>
  <si>
    <t>Approval:</t>
  </si>
  <si>
    <t>Miscellaneous</t>
  </si>
  <si>
    <t>NOTE:  ONLY INSERT AMOUNTS HIGHLIGHTED IN YELLOW</t>
  </si>
  <si>
    <t>ESTIMATED MONTH'S EXPENSES</t>
  </si>
  <si>
    <t>Landscape vendor</t>
  </si>
  <si>
    <t>irrigation invoices</t>
  </si>
  <si>
    <t>fountains</t>
  </si>
  <si>
    <t>mail kiosk</t>
  </si>
  <si>
    <t>LS maintenance contract</t>
  </si>
  <si>
    <t>monthly management fee</t>
  </si>
  <si>
    <t>reimbursable expenses</t>
  </si>
  <si>
    <t>Current Unpaid Expenses</t>
  </si>
  <si>
    <t>Total Estimated Month's Expenses</t>
  </si>
  <si>
    <t>Management fees</t>
  </si>
  <si>
    <t>Administrative costs</t>
  </si>
  <si>
    <t>DEFICIT FUNDING REQUEST:</t>
  </si>
  <si>
    <t xml:space="preserve">Current Cash Balance: </t>
  </si>
  <si>
    <t>DEFICIT FUNDING YEAR-TO-DATE</t>
  </si>
  <si>
    <t>CURRENT UNPAID EXPENSES - ONLY INCLUDE WHAT HAS NOT BEEN PAID YET!!</t>
  </si>
  <si>
    <t>TOTAL                               YTD</t>
  </si>
  <si>
    <t>Hickory Hammock at Johns Lake Community Association, Inc.</t>
  </si>
  <si>
    <t>units closed</t>
  </si>
  <si>
    <t>monthly assessment</t>
  </si>
  <si>
    <t>auto calculates</t>
  </si>
  <si>
    <t>Water &amp; Sewer</t>
  </si>
  <si>
    <t>street lights</t>
  </si>
  <si>
    <t>common area electric incl fountains</t>
  </si>
  <si>
    <t>Phone lines - Gate &amp; Office</t>
  </si>
  <si>
    <t xml:space="preserve">gate access and clubhouse </t>
  </si>
  <si>
    <t>Pool Contract Service</t>
  </si>
  <si>
    <t>HH</t>
  </si>
  <si>
    <t>c/o Melrose Management</t>
  </si>
  <si>
    <t>08503520010.14048.12120</t>
  </si>
  <si>
    <t>1600 West Colonial Drive</t>
  </si>
  <si>
    <t>Orlando FL 32804</t>
  </si>
  <si>
    <t>For CalAtlantic Use</t>
  </si>
  <si>
    <t>AMOUNT PAID PER BUILDER</t>
  </si>
  <si>
    <t>double-check math totals</t>
  </si>
  <si>
    <t>cash balance to date:</t>
  </si>
  <si>
    <t>350762950000.27140.9035</t>
  </si>
  <si>
    <t>pond maintenance</t>
  </si>
  <si>
    <t>Maint/Infrastructure Acct deposit</t>
  </si>
  <si>
    <t>per engineer's report &amp; CPA calcs</t>
  </si>
  <si>
    <t>Envera Systems</t>
  </si>
  <si>
    <t>Universal Engineering</t>
  </si>
  <si>
    <t>Gate Repairs</t>
  </si>
  <si>
    <t>Electrical Repairs</t>
  </si>
  <si>
    <t>Aquatic Maintenance</t>
  </si>
  <si>
    <t>maintenance + chemicals</t>
  </si>
  <si>
    <t>Legal expenses</t>
  </si>
  <si>
    <t>irrig repairs, tree work + annuals</t>
  </si>
  <si>
    <t>Southern Mosquito Control</t>
  </si>
  <si>
    <t>carpet cleaning, fitness equip repairs, AC maint</t>
  </si>
  <si>
    <t>Lifestyle Management &amp; expenses</t>
  </si>
  <si>
    <t>personnel &amp; estimated function expenses</t>
  </si>
  <si>
    <t>On site maintenance/janitorial</t>
  </si>
  <si>
    <t>insurance payment</t>
  </si>
  <si>
    <t>HOA attorney expenses</t>
  </si>
  <si>
    <t>technician services/parts</t>
  </si>
  <si>
    <t>monitoring and key fobs</t>
  </si>
  <si>
    <t>Requested by: Michelle Bibeau, Melrose Management</t>
  </si>
  <si>
    <t>Delinquencies (unpaid Assessmts)</t>
  </si>
  <si>
    <t>mosquito &amp; midge spray service</t>
  </si>
  <si>
    <t>common areas</t>
  </si>
  <si>
    <t>consultant/swales</t>
  </si>
  <si>
    <t>Plus Estimated Income: (SF Owner Assessments)</t>
  </si>
  <si>
    <t>Plus Estimated Income: (TH Owner assessments)</t>
  </si>
  <si>
    <t>Plus Estimated Income: (Emerald Pt Owner assessments due)</t>
  </si>
  <si>
    <t>deficit funding not received</t>
  </si>
  <si>
    <t>For M/I Homes Accounting Use</t>
  </si>
  <si>
    <t>For CalAtlantic Accounting Use</t>
  </si>
  <si>
    <t>replacemet TV in clubhouse</t>
  </si>
  <si>
    <t>Electric Deposit (New Acct)</t>
  </si>
  <si>
    <t>Bio-Tech</t>
  </si>
  <si>
    <t>CalAtlantic</t>
  </si>
  <si>
    <t>cameras and pest control</t>
  </si>
  <si>
    <t>lot 19 elevations survey</t>
  </si>
  <si>
    <t>bio tech</t>
  </si>
  <si>
    <t>assc land survey</t>
  </si>
  <si>
    <t>NOT INCLUDED IN TOTAL</t>
  </si>
  <si>
    <t>repairs</t>
  </si>
  <si>
    <t>PEDESTRIAN GATES ADDED AFTER DEFICIT CALCULATED</t>
  </si>
  <si>
    <t>maintenance</t>
  </si>
  <si>
    <t>bio-tech</t>
  </si>
  <si>
    <t xml:space="preserve">maintenance </t>
  </si>
  <si>
    <t>central FL engineering &amp; summertime dock &amp;land surveying</t>
  </si>
  <si>
    <t>phone and cable</t>
  </si>
  <si>
    <t>CalAtlantic - April</t>
  </si>
  <si>
    <t>CalAtlantic (May)</t>
  </si>
  <si>
    <t>incudes ped gate repair</t>
  </si>
  <si>
    <t>EP electricial outlet</t>
  </si>
  <si>
    <t>Roscoe Cleaning Services</t>
  </si>
  <si>
    <t>incl ph 2A&amp;2B $1359.00</t>
  </si>
  <si>
    <t>ph2A&amp;2B calcs</t>
  </si>
  <si>
    <t>CPA</t>
  </si>
  <si>
    <t>(REW last bill)</t>
  </si>
  <si>
    <t>CPA Reserves Study &amp; tax return</t>
  </si>
  <si>
    <t>phone line clubhouse</t>
  </si>
  <si>
    <t>pest control</t>
  </si>
  <si>
    <t>Arrington CPA ordinance calculations</t>
  </si>
  <si>
    <t>deferred maintenance account reserves</t>
  </si>
  <si>
    <t>replaced drain covers</t>
  </si>
  <si>
    <t>SW Maintenance</t>
  </si>
  <si>
    <t>Total due in Capital Infrastructure Reserve Account</t>
  </si>
  <si>
    <t>Additional reserve amount due in acct thru 7/31/17</t>
  </si>
  <si>
    <t>Additional reserve amount due in acct thru 5/31/17</t>
  </si>
  <si>
    <t>Balance remaining due to Reserve Account by 9/30/17</t>
  </si>
  <si>
    <t xml:space="preserve">Amount required to be current </t>
  </si>
  <si>
    <t>Account balance as of 7/31/17</t>
  </si>
  <si>
    <t>overage</t>
  </si>
  <si>
    <t>Deferred Maintenance Reserve Acct balance as of 5/31/17</t>
  </si>
  <si>
    <t>Capital Infrastructure Reserve Acct balance as of 5/31/17</t>
  </si>
  <si>
    <t>Total due in Deferred Maintenance Reserve Account</t>
  </si>
  <si>
    <t>due now</t>
  </si>
  <si>
    <t>Defered Maintenance Account amount due by 9/28/2017</t>
  </si>
  <si>
    <t>Capital Infrastructure Reserve Account amount due by 9/28/17</t>
  </si>
  <si>
    <t>Balance remaining due to Reserve Account by 9/28/17</t>
  </si>
  <si>
    <t>HICKORY HAMMOCK RESERVE ACCOUNTS PER CPA CALCULATIONS WORKSHEET</t>
  </si>
  <si>
    <t>mankin &amp; ozim bills</t>
  </si>
  <si>
    <t>turnover costs</t>
  </si>
  <si>
    <t xml:space="preserve">WMD biotech SWMS </t>
  </si>
  <si>
    <t>pool repair</t>
  </si>
  <si>
    <t>pest control, gates open</t>
  </si>
  <si>
    <t>hurricane clean up</t>
  </si>
  <si>
    <t>dock repair, street and conservation 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</si>
</sst>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 tint="0.499984740745262"/>
      <name val="Arial"/>
      <family val="2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"/>
      <family val="2"/>
    </font>
    <font>
      <u val="double"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sz val="12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72">
    <xf numFmtId="0" fontId="0" fillId="0" borderId="0" xfId="0"/>
    <xf numFmtId="0" fontId="3" fillId="0" borderId="0" xfId="0" applyFont="1" applyBorder="1"/>
    <xf numFmtId="0" fontId="3" fillId="0" borderId="0" xfId="2" applyFont="1"/>
    <xf numFmtId="0" fontId="3" fillId="0" borderId="0" xfId="2" applyFont="1" applyBorder="1"/>
    <xf numFmtId="0" fontId="3" fillId="2" borderId="6" xfId="0" applyFont="1" applyFill="1" applyBorder="1" applyAlignment="1">
      <alignment horizontal="right"/>
    </xf>
    <xf numFmtId="14" fontId="3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44" fontId="3" fillId="0" borderId="0" xfId="1" applyFont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8" xfId="0" applyFont="1" applyFill="1" applyBorder="1"/>
    <xf numFmtId="0" fontId="3" fillId="2" borderId="3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14" fontId="3" fillId="0" borderId="13" xfId="2" applyNumberFormat="1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44" fontId="3" fillId="0" borderId="13" xfId="2" applyNumberFormat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4" fontId="3" fillId="0" borderId="0" xfId="2" applyNumberFormat="1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14" fontId="3" fillId="0" borderId="5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1" fontId="3" fillId="2" borderId="6" xfId="0" applyNumberFormat="1" applyFont="1" applyFill="1" applyBorder="1" applyAlignment="1">
      <alignment horizontal="left" vertical="center"/>
    </xf>
    <xf numFmtId="14" fontId="3" fillId="0" borderId="13" xfId="2" applyNumberFormat="1" applyFont="1" applyBorder="1" applyAlignment="1">
      <alignment horizontal="center" vertical="center"/>
    </xf>
    <xf numFmtId="0" fontId="3" fillId="2" borderId="1" xfId="0" applyFont="1" applyFill="1" applyBorder="1" applyAlignment="1"/>
    <xf numFmtId="44" fontId="3" fillId="0" borderId="0" xfId="0" applyNumberFormat="1" applyFont="1" applyFill="1" applyBorder="1" applyAlignment="1"/>
    <xf numFmtId="0" fontId="3" fillId="0" borderId="0" xfId="2" applyFont="1" applyAlignment="1">
      <alignment horizontal="center" vertical="center" wrapText="1"/>
    </xf>
    <xf numFmtId="1" fontId="3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Border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4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2" borderId="7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3" fillId="0" borderId="0" xfId="0" applyFont="1"/>
    <xf numFmtId="0" fontId="9" fillId="0" borderId="0" xfId="0" applyFont="1"/>
    <xf numFmtId="44" fontId="11" fillId="0" borderId="0" xfId="1" applyFont="1" applyFill="1"/>
    <xf numFmtId="0" fontId="9" fillId="0" borderId="0" xfId="0" quotePrefix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4" fontId="9" fillId="0" borderId="0" xfId="1" applyFont="1" applyBorder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4" fontId="9" fillId="0" borderId="0" xfId="1" applyFont="1" applyBorder="1" applyAlignment="1">
      <alignment vertical="center"/>
    </xf>
    <xf numFmtId="44" fontId="9" fillId="0" borderId="0" xfId="1" applyFont="1" applyFill="1" applyBorder="1"/>
    <xf numFmtId="0" fontId="9" fillId="0" borderId="0" xfId="0" applyFont="1" applyBorder="1"/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/>
    <xf numFmtId="0" fontId="3" fillId="0" borderId="0" xfId="0" applyFont="1" applyFill="1"/>
    <xf numFmtId="44" fontId="3" fillId="0" borderId="2" xfId="1" applyFont="1" applyFill="1" applyBorder="1"/>
    <xf numFmtId="0" fontId="13" fillId="0" borderId="0" xfId="0" applyFont="1"/>
    <xf numFmtId="0" fontId="3" fillId="0" borderId="0" xfId="0" applyFont="1" applyFill="1" applyBorder="1"/>
    <xf numFmtId="44" fontId="3" fillId="0" borderId="2" xfId="1" applyFont="1" applyBorder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44" fontId="5" fillId="0" borderId="0" xfId="0" applyNumberFormat="1" applyFont="1"/>
    <xf numFmtId="0" fontId="3" fillId="0" borderId="8" xfId="2" applyFont="1" applyBorder="1" applyAlignment="1">
      <alignment vertical="center"/>
    </xf>
    <xf numFmtId="44" fontId="3" fillId="0" borderId="8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44" fontId="9" fillId="3" borderId="0" xfId="1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3" fontId="9" fillId="3" borderId="0" xfId="0" applyNumberFormat="1" applyFont="1" applyFill="1"/>
    <xf numFmtId="43" fontId="9" fillId="3" borderId="0" xfId="0" applyNumberFormat="1" applyFont="1" applyFill="1" applyBorder="1"/>
    <xf numFmtId="0" fontId="3" fillId="3" borderId="0" xfId="0" applyFont="1" applyFill="1"/>
    <xf numFmtId="0" fontId="9" fillId="3" borderId="0" xfId="0" applyFont="1" applyFill="1"/>
    <xf numFmtId="44" fontId="7" fillId="3" borderId="0" xfId="1" applyFont="1" applyFill="1" applyBorder="1"/>
    <xf numFmtId="44" fontId="5" fillId="4" borderId="0" xfId="1" applyFont="1" applyFill="1" applyBorder="1"/>
    <xf numFmtId="1" fontId="3" fillId="2" borderId="6" xfId="0" applyNumberFormat="1" applyFont="1" applyFill="1" applyBorder="1" applyAlignment="1">
      <alignment horizontal="left"/>
    </xf>
    <xf numFmtId="0" fontId="9" fillId="0" borderId="0" xfId="0" applyFont="1" applyBorder="1" applyAlignment="1"/>
    <xf numFmtId="44" fontId="3" fillId="0" borderId="0" xfId="1" applyFont="1" applyBorder="1" applyAlignment="1"/>
    <xf numFmtId="0" fontId="3" fillId="0" borderId="0" xfId="2" applyFont="1" applyAlignment="1"/>
    <xf numFmtId="0" fontId="3" fillId="2" borderId="6" xfId="0" applyFont="1" applyFill="1" applyBorder="1" applyAlignment="1"/>
    <xf numFmtId="1" fontId="3" fillId="2" borderId="0" xfId="0" applyNumberFormat="1" applyFont="1" applyFill="1" applyBorder="1" applyAlignment="1">
      <alignment horizontal="right"/>
    </xf>
    <xf numFmtId="44" fontId="3" fillId="0" borderId="0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3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right" vertical="center"/>
    </xf>
    <xf numFmtId="164" fontId="11" fillId="0" borderId="0" xfId="1" applyNumberFormat="1" applyFont="1" applyFill="1"/>
    <xf numFmtId="44" fontId="0" fillId="0" borderId="0" xfId="1" applyFont="1"/>
    <xf numFmtId="0" fontId="0" fillId="0" borderId="0" xfId="0" applyAlignment="1">
      <alignment horizontal="right"/>
    </xf>
    <xf numFmtId="44" fontId="0" fillId="0" borderId="8" xfId="1" applyFont="1" applyBorder="1"/>
    <xf numFmtId="0" fontId="3" fillId="5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43" fontId="9" fillId="5" borderId="0" xfId="0" applyNumberFormat="1" applyFont="1" applyFill="1" applyBorder="1"/>
    <xf numFmtId="0" fontId="3" fillId="5" borderId="0" xfId="0" applyFont="1" applyFill="1"/>
    <xf numFmtId="0" fontId="9" fillId="5" borderId="0" xfId="0" applyFont="1" applyFill="1"/>
    <xf numFmtId="0" fontId="5" fillId="0" borderId="0" xfId="0" applyFont="1" applyFill="1"/>
    <xf numFmtId="164" fontId="9" fillId="3" borderId="0" xfId="1" applyNumberFormat="1" applyFont="1" applyFill="1"/>
    <xf numFmtId="164" fontId="5" fillId="4" borderId="0" xfId="1" applyNumberFormat="1" applyFont="1" applyFill="1" applyBorder="1"/>
    <xf numFmtId="44" fontId="0" fillId="0" borderId="0" xfId="1" applyFont="1" applyBorder="1"/>
    <xf numFmtId="0" fontId="0" fillId="0" borderId="0" xfId="0" applyBorder="1"/>
    <xf numFmtId="0" fontId="0" fillId="0" borderId="8" xfId="0" applyFill="1" applyBorder="1"/>
    <xf numFmtId="0" fontId="0" fillId="0" borderId="8" xfId="0" applyBorder="1"/>
    <xf numFmtId="44" fontId="15" fillId="0" borderId="0" xfId="1" applyFont="1"/>
    <xf numFmtId="44" fontId="0" fillId="0" borderId="0" xfId="0" applyNumberFormat="1"/>
    <xf numFmtId="44" fontId="0" fillId="0" borderId="8" xfId="0" applyNumberFormat="1" applyBorder="1"/>
    <xf numFmtId="44" fontId="16" fillId="0" borderId="8" xfId="0" applyNumberFormat="1" applyFont="1" applyBorder="1"/>
    <xf numFmtId="44" fontId="17" fillId="0" borderId="0" xfId="0" applyNumberFormat="1" applyFont="1"/>
    <xf numFmtId="44" fontId="18" fillId="0" borderId="0" xfId="1" applyFont="1"/>
    <xf numFmtId="0" fontId="16" fillId="0" borderId="0" xfId="0" applyFont="1"/>
    <xf numFmtId="0" fontId="15" fillId="0" borderId="0" xfId="0" applyFont="1"/>
    <xf numFmtId="44" fontId="14" fillId="0" borderId="8" xfId="0" applyNumberFormat="1" applyFont="1" applyBorder="1"/>
    <xf numFmtId="44" fontId="16" fillId="0" borderId="0" xfId="0" applyNumberFormat="1" applyFont="1"/>
    <xf numFmtId="0" fontId="19" fillId="0" borderId="0" xfId="0" applyFo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4" fontId="3" fillId="4" borderId="0" xfId="0" applyNumberFormat="1" applyFont="1" applyFill="1" applyBorder="1" applyAlignment="1">
      <alignment horizontal="center"/>
    </xf>
    <xf numFmtId="44" fontId="3" fillId="4" borderId="6" xfId="0" applyNumberFormat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4" fontId="3" fillId="3" borderId="0" xfId="0" applyNumberFormat="1" applyFont="1" applyFill="1" applyBorder="1" applyAlignment="1">
      <alignment horizontal="right"/>
    </xf>
    <xf numFmtId="44" fontId="3" fillId="3" borderId="6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14" fontId="3" fillId="0" borderId="0" xfId="2" applyNumberFormat="1" applyFont="1" applyBorder="1" applyAlignment="1">
      <alignment horizontal="center" vertical="center"/>
    </xf>
    <xf numFmtId="44" fontId="3" fillId="2" borderId="9" xfId="0" applyNumberFormat="1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44" fontId="5" fillId="0" borderId="4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2" borderId="8" xfId="0" quotePrefix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4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Brooks Landing - Funding Request 2011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28</xdr:row>
      <xdr:rowOff>26591</xdr:rowOff>
    </xdr:from>
    <xdr:to>
      <xdr:col>13</xdr:col>
      <xdr:colOff>228600</xdr:colOff>
      <xdr:row>64</xdr:row>
      <xdr:rowOff>57149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789091"/>
          <a:ext cx="6019800" cy="688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4"/>
  <sheetViews>
    <sheetView topLeftCell="A79" zoomScale="75" zoomScaleNormal="75" workbookViewId="0">
      <selection activeCell="N14" sqref="N14"/>
    </sheetView>
  </sheetViews>
  <sheetFormatPr defaultColWidth="9.140625" defaultRowHeight="15" x14ac:dyDescent="0.25"/>
  <cols>
    <col min="1" max="1" width="12" style="53" customWidth="1"/>
    <col min="2" max="2" width="29.28515625" style="53" customWidth="1"/>
    <col min="3" max="3" width="10.7109375" style="53" customWidth="1"/>
    <col min="4" max="4" width="8.5703125" style="53" customWidth="1"/>
    <col min="5" max="5" width="21" style="53" customWidth="1"/>
    <col min="6" max="6" width="7.7109375" style="53" customWidth="1"/>
    <col min="7" max="7" width="18.140625" style="53" customWidth="1"/>
    <col min="8" max="8" width="19.7109375" style="53" customWidth="1"/>
    <col min="9" max="9" width="3.7109375" style="53" customWidth="1"/>
    <col min="10" max="10" width="4.140625" style="53" customWidth="1"/>
    <col min="11" max="11" width="8.28515625" style="53" customWidth="1"/>
    <col min="12" max="12" width="7.85546875" style="53" customWidth="1"/>
    <col min="13" max="16384" width="9.140625" style="53"/>
  </cols>
  <sheetData>
    <row r="1" spans="1:11" ht="18.600000000000001" customHeight="1" x14ac:dyDescent="0.25">
      <c r="A1" s="152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8.600000000000001" customHeight="1" x14ac:dyDescent="0.25">
      <c r="A2" s="152" t="s">
        <v>23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6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1" ht="18.600000000000001" customHeight="1" x14ac:dyDescent="0.25">
      <c r="A4" s="153">
        <v>42745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8.600000000000001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8.600000000000001" customHeight="1" x14ac:dyDescent="0.25">
      <c r="A6" s="22"/>
      <c r="B6" s="22"/>
      <c r="C6" s="22"/>
      <c r="D6" s="22"/>
      <c r="E6" s="106"/>
      <c r="F6" s="106"/>
      <c r="G6" s="106"/>
      <c r="H6" s="107" t="s">
        <v>35</v>
      </c>
    </row>
    <row r="7" spans="1:11" ht="18.600000000000001" customHeight="1" x14ac:dyDescent="0.25"/>
    <row r="8" spans="1:11" s="56" customFormat="1" ht="18.600000000000001" customHeight="1" x14ac:dyDescent="0.2">
      <c r="A8" s="55" t="s">
        <v>49</v>
      </c>
      <c r="G8" s="105" t="s">
        <v>71</v>
      </c>
      <c r="H8" s="88">
        <f>58617.7+1080.27</f>
        <v>59697.969999999994</v>
      </c>
    </row>
    <row r="9" spans="1:11" s="56" customFormat="1" ht="18.600000000000001" customHeight="1" x14ac:dyDescent="0.2">
      <c r="A9" s="56" t="s">
        <v>0</v>
      </c>
      <c r="G9" s="56" t="s">
        <v>56</v>
      </c>
      <c r="H9" s="57">
        <f>-E48</f>
        <v>-131229.57999999999</v>
      </c>
      <c r="I9" s="58"/>
    </row>
    <row r="10" spans="1:11" s="56" customFormat="1" ht="18.600000000000001" customHeight="1" x14ac:dyDescent="0.2">
      <c r="A10" s="56" t="s">
        <v>1</v>
      </c>
      <c r="G10" s="56" t="s">
        <v>56</v>
      </c>
      <c r="H10" s="57">
        <f>-E76</f>
        <v>-76810.83</v>
      </c>
      <c r="I10" s="58"/>
    </row>
    <row r="11" spans="1:11" s="60" customFormat="1" ht="18.600000000000001" customHeight="1" x14ac:dyDescent="0.25">
      <c r="A11" s="59"/>
      <c r="F11" s="61"/>
      <c r="G11" s="61"/>
      <c r="H11" s="62"/>
      <c r="I11" s="63"/>
    </row>
    <row r="12" spans="1:11" s="56" customFormat="1" ht="45" x14ac:dyDescent="0.2">
      <c r="F12" s="64" t="s">
        <v>54</v>
      </c>
      <c r="G12" s="64" t="s">
        <v>55</v>
      </c>
      <c r="H12" s="65"/>
    </row>
    <row r="13" spans="1:11" s="66" customFormat="1" ht="18.600000000000001" customHeight="1" x14ac:dyDescent="0.25">
      <c r="F13" s="67"/>
      <c r="G13" s="67"/>
      <c r="H13" s="68"/>
    </row>
    <row r="14" spans="1:11" s="56" customFormat="1" ht="18.600000000000001" customHeight="1" x14ac:dyDescent="0.2">
      <c r="A14" s="1" t="s">
        <v>98</v>
      </c>
      <c r="B14" s="1"/>
      <c r="C14" s="1"/>
      <c r="D14" s="1"/>
      <c r="F14" s="89">
        <v>299</v>
      </c>
      <c r="G14" s="65">
        <v>136</v>
      </c>
      <c r="H14" s="69">
        <f>F14*G14</f>
        <v>40664</v>
      </c>
    </row>
    <row r="15" spans="1:11" s="56" customFormat="1" ht="18.600000000000001" customHeight="1" x14ac:dyDescent="0.2">
      <c r="A15" s="1" t="s">
        <v>99</v>
      </c>
      <c r="B15" s="1"/>
      <c r="C15" s="1"/>
      <c r="D15" s="1"/>
      <c r="F15" s="89">
        <v>6</v>
      </c>
      <c r="G15" s="65">
        <v>235</v>
      </c>
      <c r="H15" s="69">
        <f>F15*G15</f>
        <v>1410</v>
      </c>
    </row>
    <row r="16" spans="1:11" s="56" customFormat="1" ht="18.600000000000001" customHeight="1" x14ac:dyDescent="0.2">
      <c r="A16" s="1" t="s">
        <v>100</v>
      </c>
      <c r="B16" s="1"/>
      <c r="C16" s="1"/>
      <c r="D16" s="1"/>
      <c r="E16" s="70"/>
      <c r="F16" s="90">
        <v>0</v>
      </c>
      <c r="G16" s="65">
        <v>315</v>
      </c>
      <c r="H16" s="69">
        <f>F16*G16</f>
        <v>0</v>
      </c>
    </row>
    <row r="17" spans="1:11" s="29" customFormat="1" ht="15.75" x14ac:dyDescent="0.25">
      <c r="A17" s="31"/>
      <c r="B17" s="31"/>
      <c r="C17" s="31"/>
      <c r="D17" s="30"/>
      <c r="G17" s="41" t="s">
        <v>101</v>
      </c>
      <c r="H17" s="95">
        <f>26546.48+52336.66</f>
        <v>78883.14</v>
      </c>
    </row>
    <row r="18" spans="1:11" s="56" customFormat="1" ht="18.600000000000001" customHeight="1" x14ac:dyDescent="0.2">
      <c r="A18" s="71" t="s">
        <v>48</v>
      </c>
      <c r="B18" s="71"/>
      <c r="C18" s="71"/>
      <c r="D18" s="70"/>
      <c r="E18" s="70"/>
      <c r="F18" s="70"/>
      <c r="G18" s="1"/>
      <c r="H18" s="96">
        <f>IF(SUM(H8:H17)&gt;0,0,SUM(H8:H17))</f>
        <v>-27385.300000000003</v>
      </c>
      <c r="I18" s="72"/>
      <c r="J18" s="70"/>
    </row>
    <row r="19" spans="1:11" s="56" customFormat="1" ht="18.600000000000001" customHeight="1" x14ac:dyDescent="0.2">
      <c r="A19" s="1"/>
      <c r="B19" s="71"/>
      <c r="C19" s="71"/>
      <c r="D19" s="70"/>
      <c r="G19" s="70"/>
      <c r="H19" s="70"/>
      <c r="J19" s="73"/>
    </row>
    <row r="20" spans="1:11" s="56" customFormat="1" ht="18.600000000000001" customHeight="1" x14ac:dyDescent="0.2">
      <c r="A20" s="147" t="s">
        <v>51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ht="18.600000000000001" customHeigh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ht="18.600000000000001" customHeight="1" x14ac:dyDescent="0.2">
      <c r="B22" s="55" t="s">
        <v>57</v>
      </c>
      <c r="E22" s="91">
        <f>619.45+820.07</f>
        <v>1439.52</v>
      </c>
      <c r="G22" s="55" t="s">
        <v>38</v>
      </c>
    </row>
    <row r="23" spans="1:11" s="56" customFormat="1" ht="18.600000000000001" customHeight="1" x14ac:dyDescent="0.2">
      <c r="B23" s="55" t="s">
        <v>105</v>
      </c>
      <c r="E23" s="91">
        <v>4593</v>
      </c>
      <c r="G23" s="55"/>
    </row>
    <row r="24" spans="1:11" s="56" customFormat="1" ht="18.600000000000001" customHeight="1" x14ac:dyDescent="0.2">
      <c r="B24" s="55" t="s">
        <v>25</v>
      </c>
      <c r="E24" s="91">
        <f>2054.72+1588.1</f>
        <v>3642.8199999999997</v>
      </c>
      <c r="G24" s="55" t="s">
        <v>59</v>
      </c>
    </row>
    <row r="25" spans="1:11" s="56" customFormat="1" ht="18.600000000000001" customHeight="1" x14ac:dyDescent="0.2">
      <c r="B25" s="55" t="s">
        <v>25</v>
      </c>
      <c r="E25" s="91">
        <v>0</v>
      </c>
      <c r="G25" s="55" t="s">
        <v>39</v>
      </c>
    </row>
    <row r="26" spans="1:11" s="56" customFormat="1" ht="18.600000000000001" customHeight="1" x14ac:dyDescent="0.2">
      <c r="B26" s="55" t="s">
        <v>25</v>
      </c>
      <c r="E26" s="91">
        <v>0</v>
      </c>
      <c r="G26" s="55" t="s">
        <v>40</v>
      </c>
    </row>
    <row r="27" spans="1:11" s="56" customFormat="1" ht="18.600000000000001" customHeight="1" x14ac:dyDescent="0.2">
      <c r="B27" s="55" t="s">
        <v>25</v>
      </c>
      <c r="E27" s="91">
        <v>0</v>
      </c>
      <c r="G27" s="55" t="s">
        <v>58</v>
      </c>
    </row>
    <row r="28" spans="1:11" s="56" customFormat="1" ht="18.600000000000001" customHeight="1" x14ac:dyDescent="0.2">
      <c r="B28" s="55" t="s">
        <v>60</v>
      </c>
      <c r="E28" s="91">
        <v>0</v>
      </c>
      <c r="G28" s="55" t="s">
        <v>61</v>
      </c>
    </row>
    <row r="29" spans="1:11" s="56" customFormat="1" ht="18.600000000000001" customHeight="1" x14ac:dyDescent="0.2">
      <c r="B29" s="55" t="s">
        <v>37</v>
      </c>
      <c r="E29" s="91">
        <v>48615</v>
      </c>
      <c r="G29" s="55" t="s">
        <v>41</v>
      </c>
    </row>
    <row r="30" spans="1:11" s="56" customFormat="1" ht="18.600000000000001" customHeight="1" x14ac:dyDescent="0.2">
      <c r="B30" s="55" t="s">
        <v>37</v>
      </c>
      <c r="E30" s="91">
        <v>5175.58</v>
      </c>
      <c r="G30" s="55" t="s">
        <v>83</v>
      </c>
    </row>
    <row r="31" spans="1:11" s="56" customFormat="1" ht="18.600000000000001" customHeight="1" x14ac:dyDescent="0.2">
      <c r="B31" s="55" t="s">
        <v>62</v>
      </c>
      <c r="E31" s="91">
        <v>2371.34</v>
      </c>
      <c r="G31" s="55" t="s">
        <v>81</v>
      </c>
    </row>
    <row r="32" spans="1:11" s="56" customFormat="1" ht="18.600000000000001" customHeight="1" x14ac:dyDescent="0.2">
      <c r="B32" s="55" t="s">
        <v>28</v>
      </c>
      <c r="E32" s="91">
        <v>0</v>
      </c>
      <c r="G32" s="55" t="s">
        <v>88</v>
      </c>
    </row>
    <row r="33" spans="1:11" s="56" customFormat="1" ht="18.600000000000001" customHeight="1" x14ac:dyDescent="0.2">
      <c r="B33" s="55" t="s">
        <v>27</v>
      </c>
      <c r="E33" s="91">
        <v>0</v>
      </c>
      <c r="G33" s="55" t="s">
        <v>89</v>
      </c>
    </row>
    <row r="34" spans="1:11" s="56" customFormat="1" ht="18.600000000000001" customHeight="1" x14ac:dyDescent="0.2">
      <c r="B34" s="55" t="s">
        <v>82</v>
      </c>
      <c r="E34" s="91">
        <v>440</v>
      </c>
      <c r="G34" s="55" t="s">
        <v>90</v>
      </c>
    </row>
    <row r="35" spans="1:11" s="56" customFormat="1" ht="18.600000000000001" customHeight="1" x14ac:dyDescent="0.2">
      <c r="B35" s="55" t="s">
        <v>46</v>
      </c>
      <c r="E35" s="91">
        <v>0</v>
      </c>
      <c r="G35" s="55" t="s">
        <v>42</v>
      </c>
    </row>
    <row r="36" spans="1:11" s="56" customFormat="1" ht="18.600000000000001" customHeight="1" x14ac:dyDescent="0.2">
      <c r="B36" s="55" t="s">
        <v>47</v>
      </c>
      <c r="E36" s="91">
        <v>0</v>
      </c>
      <c r="G36" s="55" t="s">
        <v>43</v>
      </c>
    </row>
    <row r="37" spans="1:11" s="56" customFormat="1" ht="18.600000000000001" customHeight="1" x14ac:dyDescent="0.2">
      <c r="B37" s="55" t="s">
        <v>78</v>
      </c>
      <c r="E37" s="91">
        <v>1799.12</v>
      </c>
      <c r="G37" s="55" t="s">
        <v>91</v>
      </c>
    </row>
    <row r="38" spans="1:11" s="74" customFormat="1" ht="18.600000000000001" customHeight="1" x14ac:dyDescent="0.2">
      <c r="A38" s="56"/>
      <c r="B38" s="55" t="s">
        <v>79</v>
      </c>
      <c r="C38" s="56"/>
      <c r="D38" s="56"/>
      <c r="E38" s="91">
        <v>0</v>
      </c>
      <c r="F38" s="56"/>
      <c r="G38" s="55" t="s">
        <v>96</v>
      </c>
      <c r="H38" s="56"/>
      <c r="I38" s="56"/>
      <c r="J38" s="56"/>
      <c r="K38" s="56"/>
    </row>
    <row r="39" spans="1:11" s="74" customFormat="1" ht="18.600000000000001" customHeight="1" x14ac:dyDescent="0.2">
      <c r="A39" s="56"/>
      <c r="B39" s="55" t="s">
        <v>106</v>
      </c>
      <c r="C39" s="56"/>
      <c r="D39" s="56"/>
      <c r="E39" s="91">
        <v>4225</v>
      </c>
      <c r="F39" s="56"/>
      <c r="G39" s="55" t="s">
        <v>73</v>
      </c>
      <c r="H39" s="56"/>
      <c r="I39" s="56"/>
      <c r="J39" s="56"/>
      <c r="K39" s="56"/>
    </row>
    <row r="40" spans="1:11" s="56" customFormat="1" ht="18.600000000000001" customHeight="1" x14ac:dyDescent="0.2">
      <c r="B40" s="55" t="s">
        <v>80</v>
      </c>
      <c r="E40" s="91">
        <v>0</v>
      </c>
      <c r="G40" s="55" t="s">
        <v>73</v>
      </c>
    </row>
    <row r="41" spans="1:11" s="56" customFormat="1" ht="18.600000000000001" customHeight="1" x14ac:dyDescent="0.2">
      <c r="B41" s="55" t="s">
        <v>76</v>
      </c>
      <c r="E41" s="91">
        <v>3351.56</v>
      </c>
      <c r="G41" s="55" t="s">
        <v>92</v>
      </c>
    </row>
    <row r="42" spans="1:11" s="56" customFormat="1" ht="18.600000000000001" customHeight="1" x14ac:dyDescent="0.2">
      <c r="B42" s="55" t="s">
        <v>84</v>
      </c>
      <c r="E42" s="91">
        <v>8307</v>
      </c>
      <c r="G42" s="55" t="s">
        <v>95</v>
      </c>
    </row>
    <row r="43" spans="1:11" s="56" customFormat="1" ht="18.600000000000001" customHeight="1" x14ac:dyDescent="0.2">
      <c r="B43" s="55" t="s">
        <v>77</v>
      </c>
      <c r="E43" s="91">
        <v>0</v>
      </c>
      <c r="G43" s="55" t="s">
        <v>97</v>
      </c>
    </row>
    <row r="44" spans="1:11" s="56" customFormat="1" ht="18.600000000000001" customHeight="1" x14ac:dyDescent="0.2">
      <c r="B44" s="55" t="s">
        <v>86</v>
      </c>
      <c r="E44" s="91">
        <v>0</v>
      </c>
      <c r="G44" s="55" t="s">
        <v>87</v>
      </c>
    </row>
    <row r="45" spans="1:11" s="56" customFormat="1" ht="18.600000000000001" customHeight="1" x14ac:dyDescent="0.2">
      <c r="B45" s="55" t="s">
        <v>34</v>
      </c>
      <c r="E45" s="91">
        <v>620</v>
      </c>
      <c r="G45" s="55" t="s">
        <v>85</v>
      </c>
    </row>
    <row r="46" spans="1:11" s="56" customFormat="1" ht="18.600000000000001" customHeight="1" x14ac:dyDescent="0.2">
      <c r="B46" s="55" t="s">
        <v>74</v>
      </c>
      <c r="C46" s="74"/>
      <c r="E46" s="92">
        <v>44968</v>
      </c>
      <c r="G46" s="75" t="s">
        <v>75</v>
      </c>
    </row>
    <row r="47" spans="1:11" s="56" customFormat="1" ht="18.600000000000001" customHeight="1" x14ac:dyDescent="0.2">
      <c r="A47" s="74"/>
      <c r="B47" s="93"/>
      <c r="C47" s="74"/>
      <c r="D47" s="74"/>
      <c r="E47" s="92">
        <v>1681.64</v>
      </c>
      <c r="F47" s="74"/>
      <c r="G47" s="94" t="s">
        <v>104</v>
      </c>
      <c r="H47" s="93"/>
      <c r="I47" s="74"/>
      <c r="J47" s="74"/>
      <c r="K47" s="74"/>
    </row>
    <row r="48" spans="1:11" s="56" customFormat="1" ht="18.600000000000001" customHeight="1" thickBot="1" x14ac:dyDescent="0.25">
      <c r="B48" s="55" t="s">
        <v>44</v>
      </c>
      <c r="E48" s="76">
        <f>SUM(E22:E47)</f>
        <v>131229.57999999999</v>
      </c>
      <c r="G48" s="75"/>
    </row>
    <row r="49" spans="1:11" s="56" customFormat="1" ht="18.600000000000001" customHeight="1" thickTop="1" x14ac:dyDescent="0.2">
      <c r="A49" s="55"/>
    </row>
    <row r="50" spans="1:11" s="56" customFormat="1" ht="18.600000000000001" customHeight="1" x14ac:dyDescent="0.2">
      <c r="A50" s="147" t="s">
        <v>36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</row>
    <row r="51" spans="1:11" s="56" customFormat="1" ht="18.600000000000001" customHeight="1" x14ac:dyDescent="0.2"/>
    <row r="52" spans="1:11" s="56" customFormat="1" ht="18.600000000000001" customHeight="1" x14ac:dyDescent="0.2">
      <c r="B52" s="55" t="str">
        <f>B22</f>
        <v>Water &amp; Sewer</v>
      </c>
      <c r="E52" s="91">
        <v>0</v>
      </c>
      <c r="G52" s="55" t="str">
        <f>G22</f>
        <v>irrigation invoices</v>
      </c>
    </row>
    <row r="53" spans="1:11" s="56" customFormat="1" ht="18.600000000000001" customHeight="1" x14ac:dyDescent="0.2">
      <c r="B53" s="55" t="str">
        <f t="shared" ref="B53:B67" si="0">B24</f>
        <v>Electric</v>
      </c>
      <c r="E53" s="91">
        <v>0</v>
      </c>
      <c r="G53" s="55" t="str">
        <f t="shared" ref="G53:G67" si="1">G24</f>
        <v>common area electric incl fountains</v>
      </c>
    </row>
    <row r="54" spans="1:11" s="56" customFormat="1" ht="18.600000000000001" customHeight="1" x14ac:dyDescent="0.2">
      <c r="B54" s="55" t="str">
        <f t="shared" si="0"/>
        <v>Electric</v>
      </c>
      <c r="E54" s="91">
        <v>0</v>
      </c>
      <c r="G54" s="55" t="str">
        <f t="shared" si="1"/>
        <v>fountains</v>
      </c>
    </row>
    <row r="55" spans="1:11" s="56" customFormat="1" ht="18.600000000000001" customHeight="1" x14ac:dyDescent="0.2">
      <c r="B55" s="55" t="str">
        <f t="shared" si="0"/>
        <v>Electric</v>
      </c>
      <c r="E55" s="91">
        <v>0</v>
      </c>
      <c r="G55" s="55" t="str">
        <f t="shared" si="1"/>
        <v>mail kiosk</v>
      </c>
    </row>
    <row r="56" spans="1:11" s="56" customFormat="1" ht="18.600000000000001" customHeight="1" x14ac:dyDescent="0.2">
      <c r="B56" s="55" t="str">
        <f t="shared" si="0"/>
        <v>Electric</v>
      </c>
      <c r="E56" s="91">
        <v>0</v>
      </c>
      <c r="G56" s="55" t="str">
        <f t="shared" si="1"/>
        <v>street lights</v>
      </c>
    </row>
    <row r="57" spans="1:11" s="56" customFormat="1" ht="18.600000000000001" customHeight="1" x14ac:dyDescent="0.2">
      <c r="B57" s="55" t="str">
        <f t="shared" si="0"/>
        <v>Phone lines - Gate &amp; Office</v>
      </c>
      <c r="E57" s="91">
        <v>0</v>
      </c>
      <c r="G57" s="55" t="str">
        <f t="shared" si="1"/>
        <v xml:space="preserve">gate access and clubhouse </v>
      </c>
    </row>
    <row r="58" spans="1:11" s="56" customFormat="1" ht="18.600000000000001" customHeight="1" x14ac:dyDescent="0.2">
      <c r="B58" s="55" t="str">
        <f t="shared" si="0"/>
        <v>Landscape vendor</v>
      </c>
      <c r="E58" s="91">
        <v>16205</v>
      </c>
      <c r="G58" s="55" t="str">
        <f t="shared" si="1"/>
        <v>LS maintenance contract</v>
      </c>
    </row>
    <row r="59" spans="1:11" s="56" customFormat="1" ht="18.600000000000001" customHeight="1" x14ac:dyDescent="0.2">
      <c r="B59" s="55" t="str">
        <f t="shared" si="0"/>
        <v>Landscape vendor</v>
      </c>
      <c r="E59" s="91">
        <v>0</v>
      </c>
      <c r="G59" s="55" t="str">
        <f t="shared" si="1"/>
        <v>irrig repairs, tree work + annuals</v>
      </c>
    </row>
    <row r="60" spans="1:11" s="56" customFormat="1" ht="18.600000000000001" customHeight="1" x14ac:dyDescent="0.2">
      <c r="B60" s="55" t="str">
        <f t="shared" si="0"/>
        <v>Pool Contract Service</v>
      </c>
      <c r="E60" s="91">
        <v>0</v>
      </c>
      <c r="G60" s="55" t="str">
        <f t="shared" si="1"/>
        <v>maintenance + chemicals</v>
      </c>
    </row>
    <row r="61" spans="1:11" s="56" customFormat="1" ht="18.600000000000001" customHeight="1" x14ac:dyDescent="0.2">
      <c r="B61" s="55" t="str">
        <f t="shared" si="0"/>
        <v>Windom Solutions (Stan)</v>
      </c>
      <c r="E61" s="91">
        <v>1260</v>
      </c>
      <c r="G61" s="55" t="str">
        <f t="shared" si="1"/>
        <v>On site maintenance/janitorial</v>
      </c>
    </row>
    <row r="62" spans="1:11" s="56" customFormat="1" ht="18.600000000000001" customHeight="1" x14ac:dyDescent="0.2">
      <c r="B62" s="55" t="str">
        <f t="shared" si="0"/>
        <v>HOA insurance</v>
      </c>
      <c r="E62" s="91">
        <v>0</v>
      </c>
      <c r="G62" s="55" t="str">
        <f t="shared" si="1"/>
        <v>insurance payment</v>
      </c>
    </row>
    <row r="63" spans="1:11" s="56" customFormat="1" ht="18.600000000000001" customHeight="1" x14ac:dyDescent="0.2">
      <c r="B63" s="55" t="str">
        <f t="shared" si="0"/>
        <v>Legal expenses</v>
      </c>
      <c r="E63" s="91">
        <v>0</v>
      </c>
      <c r="G63" s="55" t="str">
        <f t="shared" si="1"/>
        <v>HOA attorney expenses</v>
      </c>
    </row>
    <row r="64" spans="1:11" s="56" customFormat="1" ht="18.600000000000001" customHeight="1" x14ac:dyDescent="0.2">
      <c r="B64" s="55" t="str">
        <f t="shared" si="0"/>
        <v>Management fees</v>
      </c>
      <c r="E64" s="91">
        <v>2150</v>
      </c>
      <c r="G64" s="55" t="str">
        <f t="shared" si="1"/>
        <v>monthly management fee</v>
      </c>
    </row>
    <row r="65" spans="1:11" s="56" customFormat="1" ht="18.600000000000001" customHeight="1" x14ac:dyDescent="0.2">
      <c r="B65" s="55" t="str">
        <f t="shared" si="0"/>
        <v>Administrative costs</v>
      </c>
      <c r="E65" s="91">
        <v>500</v>
      </c>
      <c r="G65" s="55" t="str">
        <f t="shared" si="1"/>
        <v>reimbursable expenses</v>
      </c>
    </row>
    <row r="66" spans="1:11" s="56" customFormat="1" ht="18.600000000000001" customHeight="1" x14ac:dyDescent="0.2">
      <c r="B66" s="55" t="str">
        <f t="shared" si="0"/>
        <v>Gate Repairs</v>
      </c>
      <c r="E66" s="91">
        <v>0</v>
      </c>
      <c r="G66" s="55" t="str">
        <f t="shared" si="1"/>
        <v>technician services/parts</v>
      </c>
    </row>
    <row r="67" spans="1:11" s="74" customFormat="1" ht="18.600000000000001" customHeight="1" x14ac:dyDescent="0.2">
      <c r="A67" s="56"/>
      <c r="B67" s="55" t="str">
        <f t="shared" si="0"/>
        <v>Electrical Repairs</v>
      </c>
      <c r="C67" s="56"/>
      <c r="D67" s="56"/>
      <c r="E67" s="91">
        <v>0</v>
      </c>
      <c r="F67" s="56"/>
      <c r="G67" s="55" t="str">
        <f t="shared" si="1"/>
        <v>common areas</v>
      </c>
      <c r="H67" s="56"/>
      <c r="I67" s="56"/>
      <c r="J67" s="56"/>
      <c r="K67" s="56"/>
    </row>
    <row r="68" spans="1:11" s="56" customFormat="1" ht="18.600000000000001" customHeight="1" x14ac:dyDescent="0.2">
      <c r="B68" s="55" t="str">
        <f t="shared" ref="B68:B74" si="2">B40</f>
        <v>Aquatic Maintenance</v>
      </c>
      <c r="E68" s="91">
        <v>0</v>
      </c>
      <c r="G68" s="55" t="str">
        <f t="shared" ref="G68:G74" si="3">G40</f>
        <v>pond maintenance</v>
      </c>
    </row>
    <row r="69" spans="1:11" s="56" customFormat="1" ht="18.600000000000001" customHeight="1" x14ac:dyDescent="0.2">
      <c r="B69" s="55" t="str">
        <f t="shared" si="2"/>
        <v>Envera Systems</v>
      </c>
      <c r="E69" s="91">
        <v>0</v>
      </c>
      <c r="G69" s="55" t="str">
        <f t="shared" si="3"/>
        <v>monitoring and key fobs</v>
      </c>
    </row>
    <row r="70" spans="1:11" s="56" customFormat="1" ht="18.600000000000001" customHeight="1" x14ac:dyDescent="0.2">
      <c r="B70" s="55" t="str">
        <f t="shared" si="2"/>
        <v>Southern Mosquito Control</v>
      </c>
      <c r="E70" s="91">
        <v>8307</v>
      </c>
      <c r="G70" s="55" t="str">
        <f t="shared" si="3"/>
        <v>mosquito &amp; midge spray service</v>
      </c>
    </row>
    <row r="71" spans="1:11" s="56" customFormat="1" ht="18.600000000000001" customHeight="1" x14ac:dyDescent="0.2">
      <c r="B71" s="55" t="str">
        <f t="shared" si="2"/>
        <v>Universal Engineering</v>
      </c>
      <c r="E71" s="91">
        <v>0</v>
      </c>
      <c r="G71" s="55" t="str">
        <f t="shared" si="3"/>
        <v>consultant/swales</v>
      </c>
    </row>
    <row r="72" spans="1:11" s="56" customFormat="1" ht="18.600000000000001" customHeight="1" x14ac:dyDescent="0.2">
      <c r="B72" s="55" t="str">
        <f t="shared" si="2"/>
        <v>Lifestyle Management &amp; expenses</v>
      </c>
      <c r="E72" s="91">
        <v>3420.83</v>
      </c>
      <c r="G72" s="55" t="str">
        <f t="shared" si="3"/>
        <v>personnel &amp; estimated function expenses</v>
      </c>
      <c r="H72" s="77"/>
    </row>
    <row r="73" spans="1:11" s="56" customFormat="1" ht="18.600000000000001" customHeight="1" x14ac:dyDescent="0.2">
      <c r="B73" s="55" t="str">
        <f t="shared" si="2"/>
        <v>Miscellaneous</v>
      </c>
      <c r="E73" s="91">
        <v>0</v>
      </c>
      <c r="G73" s="55" t="str">
        <f t="shared" si="3"/>
        <v>carpet cleaning, fitness equip repairs, AC maint</v>
      </c>
    </row>
    <row r="74" spans="1:11" s="56" customFormat="1" ht="18.600000000000001" customHeight="1" x14ac:dyDescent="0.2">
      <c r="B74" s="55" t="str">
        <f t="shared" si="2"/>
        <v>Maint/Infrastructure Acct deposit</v>
      </c>
      <c r="C74" s="74"/>
      <c r="E74" s="92">
        <v>44968</v>
      </c>
      <c r="G74" s="55" t="str">
        <f t="shared" si="3"/>
        <v>per engineer's report &amp; CPA calcs</v>
      </c>
      <c r="H74" s="74"/>
    </row>
    <row r="75" spans="1:11" s="56" customFormat="1" ht="18.600000000000001" customHeight="1" x14ac:dyDescent="0.2">
      <c r="A75" s="74"/>
      <c r="B75" s="93"/>
      <c r="C75" s="74"/>
      <c r="D75" s="74"/>
      <c r="E75" s="92"/>
      <c r="F75" s="74"/>
      <c r="G75" s="157"/>
      <c r="H75" s="157"/>
      <c r="I75" s="74"/>
      <c r="J75" s="74"/>
      <c r="K75" s="74"/>
    </row>
    <row r="76" spans="1:11" s="56" customFormat="1" ht="18.600000000000001" customHeight="1" thickBot="1" x14ac:dyDescent="0.25">
      <c r="B76" s="78" t="s">
        <v>45</v>
      </c>
      <c r="C76" s="1"/>
      <c r="D76" s="1"/>
      <c r="E76" s="79">
        <f>SUM(E52:E75)</f>
        <v>76810.83</v>
      </c>
    </row>
    <row r="77" spans="1:11" s="2" customFormat="1" ht="18.600000000000001" customHeight="1" thickTop="1" x14ac:dyDescent="0.2">
      <c r="A77" s="56"/>
      <c r="B77" s="78"/>
      <c r="C77" s="1"/>
      <c r="D77" s="1"/>
      <c r="E77" s="7"/>
      <c r="F77" s="56"/>
      <c r="G77" s="135" t="s">
        <v>24</v>
      </c>
      <c r="H77" s="136"/>
      <c r="I77" s="136"/>
      <c r="J77" s="136"/>
      <c r="K77" s="137"/>
    </row>
    <row r="78" spans="1:11" s="2" customFormat="1" ht="18.600000000000001" customHeight="1" x14ac:dyDescent="0.2">
      <c r="A78" s="145" t="s">
        <v>2</v>
      </c>
      <c r="B78" s="146"/>
      <c r="C78" s="146"/>
      <c r="D78" s="146"/>
      <c r="E78" s="80"/>
      <c r="F78" s="80"/>
      <c r="G78" s="52" t="s">
        <v>4</v>
      </c>
      <c r="H78" s="8"/>
      <c r="I78" s="155">
        <f>-H18</f>
        <v>27385.300000000003</v>
      </c>
      <c r="J78" s="155"/>
      <c r="K78" s="156"/>
    </row>
    <row r="79" spans="1:11" s="2" customFormat="1" ht="18.600000000000001" customHeight="1" x14ac:dyDescent="0.2">
      <c r="A79" s="81" t="str">
        <f>A1</f>
        <v>Hickory Hammock at Johns Lake Community Association, Inc.</v>
      </c>
      <c r="B79" s="81"/>
      <c r="C79" s="81"/>
      <c r="D79" s="81"/>
      <c r="E79" s="80"/>
      <c r="F79" s="80"/>
      <c r="G79" s="10" t="s">
        <v>94</v>
      </c>
      <c r="H79" s="9"/>
      <c r="I79" s="148">
        <v>3072.47</v>
      </c>
      <c r="J79" s="148"/>
      <c r="K79" s="149"/>
    </row>
    <row r="80" spans="1:11" s="2" customFormat="1" ht="18.600000000000001" customHeight="1" x14ac:dyDescent="0.2">
      <c r="A80" s="145" t="s">
        <v>3</v>
      </c>
      <c r="B80" s="146"/>
      <c r="C80" s="146"/>
      <c r="D80" s="146"/>
      <c r="E80" s="80"/>
      <c r="F80" s="80"/>
      <c r="G80" s="44" t="s">
        <v>5</v>
      </c>
      <c r="H80" s="11"/>
      <c r="I80" s="154">
        <f>IF(I79&gt;I78,0,I78-I79)</f>
        <v>24312.83</v>
      </c>
      <c r="J80" s="154"/>
      <c r="K80" s="154"/>
    </row>
    <row r="81" spans="1:11" s="2" customFormat="1" ht="18.600000000000001" customHeight="1" x14ac:dyDescent="0.2">
      <c r="A81" s="81"/>
      <c r="B81" s="82"/>
      <c r="C81" s="82"/>
      <c r="D81" s="82"/>
      <c r="E81" s="80"/>
      <c r="F81" s="80"/>
      <c r="G81" s="80"/>
      <c r="H81" s="1"/>
      <c r="I81" s="83"/>
      <c r="J81" s="84"/>
      <c r="K81" s="56"/>
    </row>
    <row r="82" spans="1:11" s="2" customFormat="1" ht="18.600000000000001" customHeight="1" x14ac:dyDescent="0.2">
      <c r="A82" s="82" t="str">
        <f>A1</f>
        <v>Hickory Hammock at Johns Lake Community Association, Inc.</v>
      </c>
      <c r="B82" s="82"/>
      <c r="C82" s="82"/>
      <c r="D82" s="82"/>
      <c r="E82" s="80"/>
      <c r="F82" s="80"/>
      <c r="G82" s="135" t="s">
        <v>102</v>
      </c>
      <c r="H82" s="136"/>
      <c r="I82" s="136"/>
      <c r="J82" s="136"/>
      <c r="K82" s="137"/>
    </row>
    <row r="83" spans="1:11" s="2" customFormat="1" ht="18.600000000000001" customHeight="1" x14ac:dyDescent="0.2">
      <c r="A83" s="145" t="s">
        <v>64</v>
      </c>
      <c r="B83" s="146"/>
      <c r="C83" s="146"/>
      <c r="D83" s="146"/>
      <c r="E83" s="80"/>
      <c r="F83" s="80"/>
      <c r="G83" s="12" t="s">
        <v>6</v>
      </c>
      <c r="H83" s="34"/>
      <c r="I83" s="150">
        <v>2502183</v>
      </c>
      <c r="J83" s="150"/>
      <c r="K83" s="151"/>
    </row>
    <row r="84" spans="1:11" s="2" customFormat="1" ht="18.600000000000001" customHeight="1" x14ac:dyDescent="0.2">
      <c r="A84" s="145" t="s">
        <v>66</v>
      </c>
      <c r="B84" s="146"/>
      <c r="C84" s="146"/>
      <c r="D84" s="146"/>
      <c r="E84" s="80"/>
      <c r="F84" s="80"/>
      <c r="G84" s="13" t="s">
        <v>29</v>
      </c>
      <c r="H84" s="14" t="s">
        <v>63</v>
      </c>
      <c r="I84" s="102">
        <v>1</v>
      </c>
      <c r="J84" s="15">
        <v>10</v>
      </c>
      <c r="K84" s="97">
        <v>2017</v>
      </c>
    </row>
    <row r="85" spans="1:11" s="2" customFormat="1" ht="18.600000000000001" customHeight="1" x14ac:dyDescent="0.2">
      <c r="A85" s="145" t="s">
        <v>67</v>
      </c>
      <c r="B85" s="146"/>
      <c r="C85" s="146"/>
      <c r="D85" s="146"/>
      <c r="E85" s="80"/>
      <c r="F85" s="80"/>
      <c r="G85" s="13" t="s">
        <v>26</v>
      </c>
      <c r="H85" s="35"/>
      <c r="I85" s="140">
        <f>(I80)/2</f>
        <v>12156.415000000001</v>
      </c>
      <c r="J85" s="140"/>
      <c r="K85" s="141"/>
    </row>
    <row r="86" spans="1:11" s="2" customFormat="1" ht="18.600000000000001" customHeight="1" x14ac:dyDescent="0.2">
      <c r="A86" s="145"/>
      <c r="B86" s="146"/>
      <c r="C86" s="146"/>
      <c r="D86" s="146"/>
      <c r="E86" s="80"/>
      <c r="F86" s="80"/>
      <c r="G86" s="13" t="s">
        <v>30</v>
      </c>
      <c r="H86" s="14" t="str">
        <f>H84</f>
        <v>HH</v>
      </c>
      <c r="I86" s="98"/>
      <c r="J86" s="16"/>
      <c r="K86" s="4" t="s">
        <v>32</v>
      </c>
    </row>
    <row r="87" spans="1:11" s="2" customFormat="1" ht="18.600000000000001" customHeight="1" x14ac:dyDescent="0.2">
      <c r="A87" s="82" t="s">
        <v>93</v>
      </c>
      <c r="B87" s="82"/>
      <c r="C87" s="82"/>
      <c r="D87" s="82"/>
      <c r="E87" s="80"/>
      <c r="F87" s="80"/>
      <c r="G87" s="17" t="s">
        <v>31</v>
      </c>
      <c r="H87" s="143" t="s">
        <v>72</v>
      </c>
      <c r="I87" s="143"/>
      <c r="J87" s="143"/>
      <c r="K87" s="144"/>
    </row>
    <row r="88" spans="1:11" s="2" customFormat="1" ht="18.600000000000001" customHeight="1" x14ac:dyDescent="0.2">
      <c r="A88" s="82"/>
      <c r="B88" s="82"/>
      <c r="C88" s="82"/>
      <c r="D88" s="82"/>
      <c r="E88" s="80"/>
      <c r="F88" s="80"/>
      <c r="G88" s="99"/>
      <c r="H88" s="100"/>
      <c r="I88" s="100"/>
      <c r="J88" s="100"/>
      <c r="K88" s="100"/>
    </row>
    <row r="89" spans="1:11" s="2" customFormat="1" ht="18.600000000000001" customHeight="1" x14ac:dyDescent="0.2">
      <c r="A89" s="81"/>
      <c r="B89" s="82"/>
      <c r="C89" s="82"/>
      <c r="D89" s="82"/>
      <c r="E89" s="80"/>
      <c r="F89" s="80"/>
      <c r="G89" s="135" t="s">
        <v>103</v>
      </c>
      <c r="H89" s="136"/>
      <c r="I89" s="136"/>
      <c r="J89" s="136"/>
      <c r="K89" s="137"/>
    </row>
    <row r="90" spans="1:11" s="2" customFormat="1" ht="18.600000000000001" customHeight="1" x14ac:dyDescent="0.2">
      <c r="A90" s="53" t="s">
        <v>33</v>
      </c>
      <c r="B90" s="85"/>
      <c r="C90" s="82"/>
      <c r="D90" s="87"/>
      <c r="E90" s="3"/>
      <c r="F90" s="80"/>
      <c r="G90" s="13" t="str">
        <f>G83</f>
        <v xml:space="preserve">Vendor #: </v>
      </c>
      <c r="H90" s="16"/>
      <c r="I90" s="138">
        <v>9576591</v>
      </c>
      <c r="J90" s="138"/>
      <c r="K90" s="139"/>
    </row>
    <row r="91" spans="1:11" s="2" customFormat="1" ht="18.600000000000001" customHeight="1" x14ac:dyDescent="0.2">
      <c r="A91" s="66"/>
      <c r="B91" s="66"/>
      <c r="C91" s="87"/>
      <c r="D91" s="50"/>
      <c r="E91" s="3"/>
      <c r="F91" s="80"/>
      <c r="G91" s="13" t="str">
        <f t="shared" ref="G91:G94" si="4">G84</f>
        <v>Invoice #:</v>
      </c>
      <c r="H91" s="14" t="str">
        <f>H84</f>
        <v>HH</v>
      </c>
      <c r="I91" s="102">
        <f>I84</f>
        <v>1</v>
      </c>
      <c r="J91" s="15">
        <f>J84</f>
        <v>10</v>
      </c>
      <c r="K91" s="97">
        <f>K84</f>
        <v>2017</v>
      </c>
    </row>
    <row r="92" spans="1:11" s="2" customFormat="1" ht="18.600000000000001" customHeight="1" x14ac:dyDescent="0.2">
      <c r="A92" s="53" t="s">
        <v>33</v>
      </c>
      <c r="B92" s="86"/>
      <c r="C92" s="50"/>
      <c r="D92" s="87"/>
      <c r="G92" s="13" t="str">
        <f t="shared" si="4"/>
        <v>Amount Due:</v>
      </c>
      <c r="H92" s="16"/>
      <c r="I92" s="140">
        <f>I85</f>
        <v>12156.415000000001</v>
      </c>
      <c r="J92" s="140"/>
      <c r="K92" s="141"/>
    </row>
    <row r="93" spans="1:11" s="2" customFormat="1" ht="18.600000000000001" customHeight="1" x14ac:dyDescent="0.2">
      <c r="A93" s="53"/>
      <c r="B93" s="53"/>
      <c r="C93" s="87"/>
      <c r="D93" s="87"/>
      <c r="G93" s="13" t="str">
        <f t="shared" si="4"/>
        <v>Description:</v>
      </c>
      <c r="H93" s="14" t="str">
        <f>H86</f>
        <v>HH</v>
      </c>
      <c r="I93" s="16" t="s">
        <v>32</v>
      </c>
      <c r="J93" s="16"/>
      <c r="K93" s="101"/>
    </row>
    <row r="94" spans="1:11" s="2" customFormat="1" ht="18.600000000000001" customHeight="1" x14ac:dyDescent="0.2">
      <c r="A94" s="53" t="s">
        <v>33</v>
      </c>
      <c r="B94" s="86"/>
      <c r="C94" s="87"/>
      <c r="D94" s="87"/>
      <c r="G94" s="17" t="str">
        <f t="shared" si="4"/>
        <v>Job Code:</v>
      </c>
      <c r="H94" s="142" t="s">
        <v>65</v>
      </c>
      <c r="I94" s="143"/>
      <c r="J94" s="143"/>
      <c r="K94" s="144"/>
    </row>
    <row r="95" spans="1:11" s="2" customFormat="1" x14ac:dyDescent="0.2">
      <c r="C95" s="87"/>
      <c r="D95" s="3"/>
    </row>
    <row r="96" spans="1:11" s="2" customFormat="1" x14ac:dyDescent="0.2">
      <c r="C96" s="3"/>
      <c r="F96" s="3"/>
    </row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pans="1:11" s="2" customFormat="1" x14ac:dyDescent="0.2"/>
    <row r="210" spans="1:11" s="2" customFormat="1" x14ac:dyDescent="0.2"/>
    <row r="211" spans="1:11" s="2" customFormat="1" x14ac:dyDescent="0.2"/>
    <row r="212" spans="1:11" s="2" customFormat="1" x14ac:dyDescent="0.2"/>
    <row r="213" spans="1:11" s="2" customFormat="1" x14ac:dyDescent="0.2"/>
    <row r="214" spans="1:11" s="2" customFormat="1" x14ac:dyDescent="0.2"/>
    <row r="215" spans="1:11" s="2" customFormat="1" x14ac:dyDescent="0.2"/>
    <row r="216" spans="1:11" s="2" customFormat="1" x14ac:dyDescent="0.2"/>
    <row r="217" spans="1:11" s="2" customFormat="1" x14ac:dyDescent="0.2"/>
    <row r="218" spans="1:11" s="2" customFormat="1" x14ac:dyDescent="0.2"/>
    <row r="219" spans="1:11" s="2" customFormat="1" x14ac:dyDescent="0.2"/>
    <row r="220" spans="1:11" s="2" customFormat="1" x14ac:dyDescent="0.2"/>
    <row r="221" spans="1:11" s="2" customFormat="1" x14ac:dyDescent="0.2"/>
    <row r="222" spans="1:11" s="2" customFormat="1" x14ac:dyDescent="0.2"/>
    <row r="223" spans="1:11" s="2" customFormat="1" x14ac:dyDescent="0.2"/>
    <row r="224" spans="1:11" s="2" customFormat="1" x14ac:dyDescent="0.2">
      <c r="A224" s="53"/>
      <c r="B224" s="53"/>
      <c r="D224" s="53"/>
      <c r="E224" s="53"/>
      <c r="G224" s="53"/>
      <c r="H224" s="53"/>
      <c r="I224" s="53"/>
      <c r="J224" s="53"/>
      <c r="K224" s="53"/>
    </row>
  </sheetData>
  <mergeCells count="24">
    <mergeCell ref="A50:K50"/>
    <mergeCell ref="I79:K79"/>
    <mergeCell ref="G82:K82"/>
    <mergeCell ref="I83:K83"/>
    <mergeCell ref="A1:K1"/>
    <mergeCell ref="A2:K2"/>
    <mergeCell ref="A4:K4"/>
    <mergeCell ref="A20:K20"/>
    <mergeCell ref="G77:K77"/>
    <mergeCell ref="I80:K80"/>
    <mergeCell ref="I78:K78"/>
    <mergeCell ref="G75:H75"/>
    <mergeCell ref="G89:K89"/>
    <mergeCell ref="I90:K90"/>
    <mergeCell ref="I92:K92"/>
    <mergeCell ref="H94:K94"/>
    <mergeCell ref="A78:D78"/>
    <mergeCell ref="A80:D80"/>
    <mergeCell ref="A83:D83"/>
    <mergeCell ref="A84:D84"/>
    <mergeCell ref="A85:D85"/>
    <mergeCell ref="A86:D86"/>
    <mergeCell ref="I85:K85"/>
    <mergeCell ref="H87:K87"/>
  </mergeCells>
  <pageMargins left="1.68" right="0.5" top="0.42" bottom="0.46" header="0.52" footer="0.5"/>
  <pageSetup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75" zoomScaleNormal="75" workbookViewId="0">
      <selection activeCell="N75" sqref="N75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5" style="2" customWidth="1"/>
    <col min="9" max="9" width="3.4257812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SEP!A4+31</f>
        <v>43017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35643.760000000002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-24474.829999999998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-50358.69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346</v>
      </c>
      <c r="G14" s="65">
        <f>JAN!G14</f>
        <v>136</v>
      </c>
      <c r="H14" s="69">
        <f>F14*G14</f>
        <v>47056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35</v>
      </c>
      <c r="G15" s="65">
        <f>JAN!G15</f>
        <v>235</v>
      </c>
      <c r="H15" s="69">
        <f>F15*G15</f>
        <v>8225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3</v>
      </c>
      <c r="G16" s="65">
        <f>JAN!G16</f>
        <v>315</v>
      </c>
      <c r="H16" s="69">
        <f>F16*G16</f>
        <v>945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0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0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3016.97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0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16570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465.67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875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0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2600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0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247.19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0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 t="s">
        <v>155</v>
      </c>
      <c r="C45" s="157"/>
      <c r="D45" s="157"/>
      <c r="E45" s="92">
        <v>700</v>
      </c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24474.829999999998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9500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1800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4500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15440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1200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2600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3685.69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 t="s">
        <v>156</v>
      </c>
      <c r="C73" s="157"/>
      <c r="D73" s="74"/>
      <c r="E73" s="92">
        <v>10193</v>
      </c>
      <c r="F73" s="74"/>
      <c r="G73" s="93" t="s">
        <v>157</v>
      </c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50358.69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0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16485.53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0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SEP!I82+1</f>
        <v>10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0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10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0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H92:K92"/>
    <mergeCell ref="B45:D45"/>
    <mergeCell ref="B73:C73"/>
    <mergeCell ref="A84:D84"/>
    <mergeCell ref="H85:K85"/>
    <mergeCell ref="G87:K87"/>
    <mergeCell ref="I88:K88"/>
    <mergeCell ref="I90:K90"/>
    <mergeCell ref="A81:D81"/>
    <mergeCell ref="I81:K81"/>
    <mergeCell ref="A82:D82"/>
    <mergeCell ref="A83:D83"/>
    <mergeCell ref="I83:K83"/>
    <mergeCell ref="A76:D76"/>
    <mergeCell ref="I76:K76"/>
    <mergeCell ref="A78:D78"/>
    <mergeCell ref="G80:K80"/>
    <mergeCell ref="I77:K77"/>
    <mergeCell ref="G75:K75"/>
    <mergeCell ref="G45:H45"/>
    <mergeCell ref="A48:K48"/>
    <mergeCell ref="A1:K1"/>
    <mergeCell ref="A2:K2"/>
    <mergeCell ref="A4:J4"/>
    <mergeCell ref="A20:K20"/>
    <mergeCell ref="I78:K78"/>
  </mergeCells>
  <phoneticPr fontId="2" type="noConversion"/>
  <pageMargins left="2" right="0.75" top="0.52" bottom="1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13" zoomScale="75" zoomScaleNormal="75" workbookViewId="0">
      <selection activeCell="I90" sqref="I90:K90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5" style="2" customWidth="1"/>
    <col min="9" max="9" width="3.710937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OCT!A4+31</f>
        <v>43048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0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0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0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290</v>
      </c>
      <c r="G14" s="65">
        <f>JAN!G14</f>
        <v>136</v>
      </c>
      <c r="H14" s="69">
        <f>F14*G14</f>
        <v>39440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4</v>
      </c>
      <c r="G15" s="65">
        <f>JAN!G15</f>
        <v>235</v>
      </c>
      <c r="H15" s="69">
        <f>F15*G15</f>
        <v>940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0</v>
      </c>
      <c r="G16" s="65">
        <f>JAN!G16</f>
        <v>315</v>
      </c>
      <c r="H16" s="69">
        <f>F16*G16</f>
        <v>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0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0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0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0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0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0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0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0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0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0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/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0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0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0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0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0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0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0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OCT!I82+1</f>
        <v>11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0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11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0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H92:K92"/>
    <mergeCell ref="B45:D45"/>
    <mergeCell ref="B73:C73"/>
    <mergeCell ref="A84:D84"/>
    <mergeCell ref="H85:K85"/>
    <mergeCell ref="G87:K87"/>
    <mergeCell ref="I88:K88"/>
    <mergeCell ref="I90:K90"/>
    <mergeCell ref="A81:D81"/>
    <mergeCell ref="I81:K81"/>
    <mergeCell ref="A82:D82"/>
    <mergeCell ref="A83:D83"/>
    <mergeCell ref="I83:K83"/>
    <mergeCell ref="I77:K77"/>
    <mergeCell ref="G75:K75"/>
    <mergeCell ref="I76:K76"/>
    <mergeCell ref="I78:K78"/>
    <mergeCell ref="G80:K80"/>
    <mergeCell ref="A48:K48"/>
    <mergeCell ref="A1:K1"/>
    <mergeCell ref="A2:K2"/>
    <mergeCell ref="A4:J4"/>
    <mergeCell ref="A20:K20"/>
    <mergeCell ref="G45:H45"/>
    <mergeCell ref="A76:D76"/>
    <mergeCell ref="A78:D78"/>
  </mergeCells>
  <phoneticPr fontId="2" type="noConversion"/>
  <pageMargins left="2" right="0.75" top="0.52" bottom="1" header="0.5" footer="0.5"/>
  <pageSetup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61" zoomScale="75" zoomScaleNormal="75" workbookViewId="0">
      <selection activeCell="I90" sqref="I90:K90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17" style="2" customWidth="1"/>
    <col min="8" max="8" width="15" style="2" customWidth="1"/>
    <col min="9" max="9" width="3.8554687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NOV!A4+29</f>
        <v>43077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0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0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0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290</v>
      </c>
      <c r="G14" s="65">
        <f>JAN!G14</f>
        <v>136</v>
      </c>
      <c r="H14" s="69">
        <f>F14*G14</f>
        <v>39440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4</v>
      </c>
      <c r="G15" s="65">
        <f>JAN!G15</f>
        <v>235</v>
      </c>
      <c r="H15" s="69">
        <f>F15*G15</f>
        <v>940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0</v>
      </c>
      <c r="G16" s="65">
        <f>JAN!G16</f>
        <v>315</v>
      </c>
      <c r="H16" s="69">
        <f>F16*G16</f>
        <v>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0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0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0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0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0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0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0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0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0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0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/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0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0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0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0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0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0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0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NOV!I82+1</f>
        <v>12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0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12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0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H92:K92"/>
    <mergeCell ref="B45:D45"/>
    <mergeCell ref="B73:C73"/>
    <mergeCell ref="A84:D84"/>
    <mergeCell ref="H85:K85"/>
    <mergeCell ref="G87:K87"/>
    <mergeCell ref="I88:K88"/>
    <mergeCell ref="I90:K90"/>
    <mergeCell ref="A81:D81"/>
    <mergeCell ref="I81:K81"/>
    <mergeCell ref="A82:D82"/>
    <mergeCell ref="A83:D83"/>
    <mergeCell ref="I83:K83"/>
    <mergeCell ref="A76:D76"/>
    <mergeCell ref="I76:K76"/>
    <mergeCell ref="A78:D78"/>
    <mergeCell ref="G80:K80"/>
    <mergeCell ref="I77:K77"/>
    <mergeCell ref="G75:K75"/>
    <mergeCell ref="A4:J4"/>
    <mergeCell ref="A20:K20"/>
    <mergeCell ref="A1:K1"/>
    <mergeCell ref="A2:K2"/>
    <mergeCell ref="A48:K48"/>
    <mergeCell ref="G45:H45"/>
    <mergeCell ref="I78:K78"/>
  </mergeCells>
  <pageMargins left="2" right="0.75" top="0.52" bottom="1" header="0.5" footer="0.5"/>
  <pageSetup scale="5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75" zoomScaleNormal="75" workbookViewId="0">
      <selection activeCell="E19" sqref="E19"/>
    </sheetView>
  </sheetViews>
  <sheetFormatPr defaultColWidth="9.140625" defaultRowHeight="15" x14ac:dyDescent="0.25"/>
  <cols>
    <col min="1" max="1" width="14.5703125" style="22" bestFit="1" customWidth="1"/>
    <col min="2" max="2" width="17.7109375" style="22" customWidth="1"/>
    <col min="3" max="3" width="15.7109375" style="22" customWidth="1"/>
    <col min="4" max="4" width="17" style="22" customWidth="1"/>
    <col min="5" max="5" width="16.7109375" style="22" customWidth="1"/>
    <col min="6" max="6" width="14.7109375" style="22" bestFit="1" customWidth="1"/>
    <col min="7" max="7" width="17.140625" style="22" customWidth="1"/>
    <col min="8" max="8" width="15.140625" style="22" customWidth="1"/>
    <col min="9" max="16384" width="9.140625" style="22"/>
  </cols>
  <sheetData>
    <row r="1" spans="1:9" ht="18.600000000000001" customHeight="1" x14ac:dyDescent="0.25">
      <c r="A1" s="170" t="str">
        <f>JAN!A1:J1</f>
        <v>Hickory Hammock at Johns Lake Community Association, Inc.</v>
      </c>
      <c r="B1" s="171"/>
      <c r="C1" s="171"/>
      <c r="D1" s="171"/>
      <c r="E1" s="171"/>
      <c r="F1" s="24"/>
      <c r="G1" s="24"/>
      <c r="H1" s="24"/>
    </row>
    <row r="2" spans="1:9" ht="18.600000000000001" customHeight="1" x14ac:dyDescent="0.25">
      <c r="A2" s="168" t="s">
        <v>50</v>
      </c>
      <c r="B2" s="169"/>
      <c r="C2" s="169"/>
      <c r="D2" s="169"/>
      <c r="E2" s="37">
        <f>JAN!K84</f>
        <v>2017</v>
      </c>
      <c r="F2" s="24"/>
      <c r="G2" s="24"/>
      <c r="H2" s="24"/>
      <c r="I2" s="24"/>
    </row>
    <row r="3" spans="1:9" ht="7.9" customHeight="1" x14ac:dyDescent="0.25">
      <c r="A3" s="25"/>
      <c r="B3" s="24"/>
      <c r="C3" s="24"/>
      <c r="D3" s="38"/>
      <c r="E3" s="24"/>
      <c r="F3" s="24"/>
      <c r="G3" s="24"/>
      <c r="H3" s="24"/>
    </row>
    <row r="4" spans="1:9" ht="7.9" customHeight="1" x14ac:dyDescent="0.25">
      <c r="A4" s="26"/>
      <c r="B4" s="27"/>
      <c r="C4" s="39"/>
      <c r="D4" s="27"/>
      <c r="E4" s="27"/>
    </row>
    <row r="5" spans="1:9" s="36" customFormat="1" ht="39.75" customHeight="1" x14ac:dyDescent="0.25">
      <c r="A5" s="18" t="s">
        <v>7</v>
      </c>
      <c r="B5" s="19" t="s">
        <v>8</v>
      </c>
      <c r="C5" s="19" t="s">
        <v>9</v>
      </c>
      <c r="D5" s="19" t="s">
        <v>52</v>
      </c>
      <c r="E5" s="19" t="s">
        <v>69</v>
      </c>
    </row>
    <row r="6" spans="1:9" ht="31.5" customHeight="1" x14ac:dyDescent="0.25">
      <c r="A6" s="33" t="s">
        <v>10</v>
      </c>
      <c r="B6" s="20">
        <f>JAN!I74</f>
        <v>0</v>
      </c>
      <c r="C6" s="20">
        <f>JAN!I75</f>
        <v>0</v>
      </c>
      <c r="D6" s="21">
        <f>B6+C6</f>
        <v>0</v>
      </c>
      <c r="E6" s="20">
        <f>JAN!I80</f>
        <v>24312.83</v>
      </c>
    </row>
    <row r="7" spans="1:9" ht="31.5" customHeight="1" x14ac:dyDescent="0.25">
      <c r="A7" s="33" t="s">
        <v>11</v>
      </c>
      <c r="B7" s="20">
        <f>FEB!I64</f>
        <v>0</v>
      </c>
      <c r="C7" s="20">
        <f>FEB!I65</f>
        <v>0</v>
      </c>
      <c r="D7" s="21">
        <f>B7+C7</f>
        <v>0</v>
      </c>
      <c r="E7" s="20">
        <f>FEB!I78</f>
        <v>153510.99999999997</v>
      </c>
    </row>
    <row r="8" spans="1:9" ht="31.5" customHeight="1" x14ac:dyDescent="0.25">
      <c r="A8" s="33" t="s">
        <v>12</v>
      </c>
      <c r="B8" s="20">
        <f>MAR!I69</f>
        <v>0</v>
      </c>
      <c r="C8" s="20">
        <f>MAR!I70</f>
        <v>0</v>
      </c>
      <c r="D8" s="21">
        <f>B8+C8</f>
        <v>0</v>
      </c>
      <c r="E8" s="20">
        <f>MAR!I78</f>
        <v>0</v>
      </c>
    </row>
    <row r="9" spans="1:9" ht="31.5" customHeight="1" x14ac:dyDescent="0.25">
      <c r="A9" s="33" t="s">
        <v>13</v>
      </c>
      <c r="B9" s="20">
        <f>APR!I68</f>
        <v>0</v>
      </c>
      <c r="C9" s="20">
        <f>APR!I69</f>
        <v>0</v>
      </c>
      <c r="D9" s="21">
        <f>B9+C9</f>
        <v>0</v>
      </c>
      <c r="E9" s="20">
        <f>APR!I78</f>
        <v>66499.089999999982</v>
      </c>
    </row>
    <row r="10" spans="1:9" ht="31.5" customHeight="1" x14ac:dyDescent="0.25">
      <c r="A10" s="33" t="s">
        <v>14</v>
      </c>
      <c r="B10" s="20">
        <f>MAY!I70</f>
        <v>0</v>
      </c>
      <c r="C10" s="20">
        <f>MAY!I71</f>
        <v>0</v>
      </c>
      <c r="D10" s="21">
        <f>B10+C10</f>
        <v>0</v>
      </c>
      <c r="E10" s="20">
        <f>MAY!I78</f>
        <v>32835.139999999985</v>
      </c>
    </row>
    <row r="11" spans="1:9" ht="31.5" customHeight="1" x14ac:dyDescent="0.25">
      <c r="A11" s="33" t="s">
        <v>15</v>
      </c>
      <c r="B11" s="20">
        <f>JUN!I65</f>
        <v>0</v>
      </c>
      <c r="C11" s="20">
        <f>JUN!I66</f>
        <v>0</v>
      </c>
      <c r="D11" s="21">
        <f t="shared" ref="D11:D16" si="0">B11+C11</f>
        <v>0</v>
      </c>
      <c r="E11" s="20">
        <f>JUN!I78</f>
        <v>50430.899999999994</v>
      </c>
    </row>
    <row r="12" spans="1:9" ht="31.5" customHeight="1" x14ac:dyDescent="0.25">
      <c r="A12" s="33" t="s">
        <v>16</v>
      </c>
      <c r="B12" s="20">
        <f>JUL!I73</f>
        <v>0</v>
      </c>
      <c r="C12" s="20">
        <f>JUL!I74</f>
        <v>0</v>
      </c>
      <c r="D12" s="21">
        <f t="shared" si="0"/>
        <v>0</v>
      </c>
      <c r="E12" s="20">
        <f>JUL!I78</f>
        <v>38510.509999999995</v>
      </c>
    </row>
    <row r="13" spans="1:9" ht="31.5" customHeight="1" x14ac:dyDescent="0.25">
      <c r="A13" s="33" t="s">
        <v>17</v>
      </c>
      <c r="B13" s="20">
        <f>AUG!I73</f>
        <v>0</v>
      </c>
      <c r="C13" s="20">
        <f>AUG!I74</f>
        <v>0</v>
      </c>
      <c r="D13" s="21">
        <f t="shared" si="0"/>
        <v>0</v>
      </c>
      <c r="E13" s="20">
        <f>AUG!I78</f>
        <v>72482.040000000023</v>
      </c>
    </row>
    <row r="14" spans="1:9" ht="31.5" customHeight="1" x14ac:dyDescent="0.25">
      <c r="A14" s="33" t="s">
        <v>18</v>
      </c>
      <c r="B14" s="20">
        <f>SEP!I73</f>
        <v>0</v>
      </c>
      <c r="C14" s="20">
        <f>SEP!I74</f>
        <v>0</v>
      </c>
      <c r="D14" s="21">
        <f t="shared" si="0"/>
        <v>0</v>
      </c>
      <c r="E14" s="20">
        <f>SEP!I78</f>
        <v>33064.580000000024</v>
      </c>
    </row>
    <row r="15" spans="1:9" ht="31.5" customHeight="1" x14ac:dyDescent="0.25">
      <c r="A15" s="33" t="s">
        <v>19</v>
      </c>
      <c r="B15" s="20">
        <f>OCT!I66</f>
        <v>0</v>
      </c>
      <c r="C15" s="20">
        <f>OCT!I67</f>
        <v>0</v>
      </c>
      <c r="D15" s="21">
        <f t="shared" si="0"/>
        <v>0</v>
      </c>
      <c r="E15" s="20">
        <f>OCT!I78</f>
        <v>0</v>
      </c>
    </row>
    <row r="16" spans="1:9" ht="31.5" customHeight="1" x14ac:dyDescent="0.25">
      <c r="A16" s="33" t="s">
        <v>20</v>
      </c>
      <c r="B16" s="20">
        <f>NOV!I71</f>
        <v>0</v>
      </c>
      <c r="C16" s="20">
        <f>NOV!I72</f>
        <v>0</v>
      </c>
      <c r="D16" s="21">
        <f t="shared" si="0"/>
        <v>0</v>
      </c>
      <c r="E16" s="20">
        <f>NOV!I78</f>
        <v>0</v>
      </c>
    </row>
    <row r="17" spans="1:5" ht="31.5" customHeight="1" x14ac:dyDescent="0.25">
      <c r="A17" s="33" t="s">
        <v>21</v>
      </c>
      <c r="B17" s="20">
        <f>DEC!I71</f>
        <v>0</v>
      </c>
      <c r="C17" s="20">
        <f>DEC!I72</f>
        <v>0</v>
      </c>
      <c r="D17" s="21">
        <f>B17+C17</f>
        <v>0</v>
      </c>
      <c r="E17" s="20">
        <f>DEC!I78</f>
        <v>0</v>
      </c>
    </row>
    <row r="18" spans="1:5" ht="45.75" customHeight="1" x14ac:dyDescent="0.25">
      <c r="A18" s="33" t="s">
        <v>22</v>
      </c>
      <c r="B18" s="20">
        <f>SUM(B6:B17)</f>
        <v>0</v>
      </c>
      <c r="C18" s="20">
        <f>SUM(C6:C17)</f>
        <v>0</v>
      </c>
      <c r="D18" s="21">
        <f>SUM(D6:D17)</f>
        <v>0</v>
      </c>
      <c r="E18" s="20">
        <f>SUM(E6:E17)</f>
        <v>471646.09</v>
      </c>
    </row>
    <row r="19" spans="1:5" x14ac:dyDescent="0.25">
      <c r="A19" s="40"/>
    </row>
    <row r="20" spans="1:5" x14ac:dyDescent="0.25">
      <c r="A20" s="40"/>
      <c r="C20" s="28" t="s">
        <v>70</v>
      </c>
      <c r="D20" s="23">
        <f>B18+C18</f>
        <v>0</v>
      </c>
      <c r="E20" s="23">
        <f>D18/2</f>
        <v>0</v>
      </c>
    </row>
    <row r="21" spans="1:5" ht="16.899999999999999" customHeight="1" x14ac:dyDescent="0.25"/>
    <row r="22" spans="1:5" ht="16.899999999999999" customHeight="1" x14ac:dyDescent="0.25"/>
    <row r="23" spans="1:5" x14ac:dyDescent="0.25">
      <c r="A23" s="40"/>
    </row>
    <row r="24" spans="1:5" x14ac:dyDescent="0.25">
      <c r="A24" s="40"/>
    </row>
  </sheetData>
  <mergeCells count="2">
    <mergeCell ref="A2:D2"/>
    <mergeCell ref="A1:E1"/>
  </mergeCells>
  <phoneticPr fontId="2" type="noConversion"/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H22" sqref="H22"/>
    </sheetView>
  </sheetViews>
  <sheetFormatPr defaultRowHeight="15" x14ac:dyDescent="0.25"/>
  <cols>
    <col min="1" max="1" width="63.42578125" bestFit="1" customWidth="1"/>
    <col min="2" max="2" width="22.28515625" style="109" customWidth="1"/>
    <col min="3" max="3" width="15.5703125" customWidth="1"/>
    <col min="4" max="4" width="14.28515625" customWidth="1"/>
    <col min="5" max="5" width="13.7109375" customWidth="1"/>
  </cols>
  <sheetData>
    <row r="1" spans="1:6" x14ac:dyDescent="0.25">
      <c r="A1" s="134" t="s">
        <v>150</v>
      </c>
    </row>
    <row r="3" spans="1:6" x14ac:dyDescent="0.25">
      <c r="A3" t="s">
        <v>144</v>
      </c>
      <c r="B3" s="109">
        <v>322587</v>
      </c>
    </row>
    <row r="4" spans="1:6" x14ac:dyDescent="0.25">
      <c r="A4" s="121" t="s">
        <v>138</v>
      </c>
      <c r="B4" s="120">
        <v>219447</v>
      </c>
    </row>
    <row r="5" spans="1:6" x14ac:dyDescent="0.25">
      <c r="A5" s="122" t="s">
        <v>137</v>
      </c>
      <c r="B5" s="111">
        <f>SUM(73149/4)*2</f>
        <v>36574.5</v>
      </c>
    </row>
    <row r="6" spans="1:6" x14ac:dyDescent="0.25">
      <c r="A6" t="s">
        <v>136</v>
      </c>
      <c r="B6" s="124">
        <f>SUM(B3:B5)</f>
        <v>578608.5</v>
      </c>
      <c r="D6" s="110" t="s">
        <v>141</v>
      </c>
      <c r="E6" s="125">
        <v>495139.43</v>
      </c>
    </row>
    <row r="7" spans="1:6" x14ac:dyDescent="0.25">
      <c r="A7" s="123" t="s">
        <v>139</v>
      </c>
      <c r="B7" s="111">
        <f>B5</f>
        <v>36574.5</v>
      </c>
      <c r="D7" s="110" t="s">
        <v>140</v>
      </c>
      <c r="E7" s="127">
        <f>E6-E8</f>
        <v>-83469.070000000007</v>
      </c>
      <c r="F7" s="130" t="s">
        <v>146</v>
      </c>
    </row>
    <row r="8" spans="1:6" x14ac:dyDescent="0.25">
      <c r="B8" s="109">
        <f>SUM(B6:B7)</f>
        <v>615183</v>
      </c>
      <c r="E8" s="128">
        <f>B6</f>
        <v>578608.5</v>
      </c>
    </row>
    <row r="11" spans="1:6" x14ac:dyDescent="0.25">
      <c r="A11" t="s">
        <v>143</v>
      </c>
      <c r="B11" s="109">
        <v>59300</v>
      </c>
    </row>
    <row r="12" spans="1:6" x14ac:dyDescent="0.25">
      <c r="A12" s="121" t="s">
        <v>137</v>
      </c>
      <c r="B12" s="120">
        <v>0</v>
      </c>
    </row>
    <row r="13" spans="1:6" x14ac:dyDescent="0.25">
      <c r="A13" s="122" t="s">
        <v>137</v>
      </c>
      <c r="B13" s="111">
        <f>SUM(20267/4)*2</f>
        <v>10133.5</v>
      </c>
    </row>
    <row r="14" spans="1:6" x14ac:dyDescent="0.25">
      <c r="A14" t="s">
        <v>145</v>
      </c>
      <c r="B14" s="129">
        <f>SUM(B11:B13)</f>
        <v>69433.5</v>
      </c>
      <c r="D14" s="110" t="s">
        <v>141</v>
      </c>
      <c r="E14" s="125">
        <v>69552.460000000006</v>
      </c>
    </row>
    <row r="15" spans="1:6" x14ac:dyDescent="0.25">
      <c r="A15" s="123" t="s">
        <v>149</v>
      </c>
      <c r="B15" s="111">
        <f>B13</f>
        <v>10133.5</v>
      </c>
      <c r="D15" s="110" t="s">
        <v>140</v>
      </c>
      <c r="E15" s="132">
        <f>E14-E16</f>
        <v>118.9600000000064</v>
      </c>
      <c r="F15" s="131" t="s">
        <v>142</v>
      </c>
    </row>
    <row r="16" spans="1:6" x14ac:dyDescent="0.25">
      <c r="B16" s="109">
        <f>SUM(B14:B15)</f>
        <v>79567</v>
      </c>
      <c r="E16" s="128">
        <f>B14</f>
        <v>69433.5</v>
      </c>
    </row>
    <row r="17" spans="1:5" x14ac:dyDescent="0.25">
      <c r="E17" s="128"/>
    </row>
    <row r="18" spans="1:5" x14ac:dyDescent="0.25">
      <c r="A18" t="s">
        <v>148</v>
      </c>
      <c r="B18" s="125">
        <f>-B7</f>
        <v>-36574.5</v>
      </c>
    </row>
    <row r="19" spans="1:5" x14ac:dyDescent="0.25">
      <c r="A19" s="123" t="s">
        <v>147</v>
      </c>
      <c r="B19" s="126">
        <f>-(B15-E15)</f>
        <v>-10014.539999999994</v>
      </c>
    </row>
    <row r="20" spans="1:5" x14ac:dyDescent="0.25">
      <c r="B20" s="133">
        <f>SUM(B18:B19)</f>
        <v>-46589.039999999994</v>
      </c>
    </row>
    <row r="21" spans="1:5" x14ac:dyDescent="0.25">
      <c r="B21"/>
    </row>
    <row r="22" spans="1:5" x14ac:dyDescent="0.25">
      <c r="B22"/>
    </row>
    <row r="23" spans="1:5" x14ac:dyDescent="0.25">
      <c r="B23"/>
    </row>
    <row r="24" spans="1:5" x14ac:dyDescent="0.25">
      <c r="B24"/>
    </row>
    <row r="25" spans="1:5" x14ac:dyDescent="0.25">
      <c r="B25"/>
    </row>
    <row r="26" spans="1:5" x14ac:dyDescent="0.25">
      <c r="B26"/>
    </row>
    <row r="27" spans="1:5" x14ac:dyDescent="0.25">
      <c r="B27"/>
    </row>
    <row r="28" spans="1:5" x14ac:dyDescent="0.25">
      <c r="B28"/>
    </row>
    <row r="29" spans="1:5" x14ac:dyDescent="0.25">
      <c r="B29"/>
    </row>
    <row r="30" spans="1:5" x14ac:dyDescent="0.25">
      <c r="B30"/>
    </row>
  </sheetData>
  <pageMargins left="0.7" right="0.3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61" zoomScale="75" zoomScaleNormal="75" workbookViewId="0">
      <selection activeCell="E72" sqref="E72"/>
    </sheetView>
  </sheetViews>
  <sheetFormatPr defaultColWidth="7.28515625" defaultRowHeight="15" x14ac:dyDescent="0.2"/>
  <cols>
    <col min="1" max="1" width="10.7109375" style="2" customWidth="1"/>
    <col min="2" max="2" width="27.140625" style="2" customWidth="1"/>
    <col min="3" max="3" width="5.140625" style="2" customWidth="1"/>
    <col min="4" max="4" width="4.7109375" style="2" customWidth="1"/>
    <col min="5" max="5" width="16.140625" style="2" bestFit="1" customWidth="1"/>
    <col min="6" max="6" width="7.28515625" style="2"/>
    <col min="7" max="7" width="16.5703125" style="2" customWidth="1"/>
    <col min="8" max="8" width="22" style="2" customWidth="1"/>
    <col min="9" max="9" width="17.85546875" style="2" customWidth="1"/>
    <col min="10" max="10" width="3.7109375" style="2" customWidth="1"/>
    <col min="11" max="16384" width="7.28515625" style="2"/>
  </cols>
  <sheetData>
    <row r="1" spans="1:11" x14ac:dyDescent="0.2">
      <c r="A1" s="163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3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3"/>
    </row>
    <row r="4" spans="1:11" x14ac:dyDescent="0.2">
      <c r="A4" s="161">
        <f>JAN!A4+30</f>
        <v>42775</v>
      </c>
      <c r="B4" s="162"/>
      <c r="C4" s="162"/>
      <c r="D4" s="162"/>
      <c r="E4" s="162"/>
      <c r="F4" s="162"/>
      <c r="G4" s="162"/>
      <c r="H4" s="162"/>
      <c r="I4" s="162"/>
      <c r="J4" s="162"/>
      <c r="K4" s="3"/>
    </row>
    <row r="5" spans="1:1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15098.16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-237984.41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-48368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306</v>
      </c>
      <c r="G14" s="65">
        <f>JAN!G14</f>
        <v>136</v>
      </c>
      <c r="H14" s="69">
        <f>F14*G14</f>
        <v>41616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9</v>
      </c>
      <c r="G15" s="65">
        <f>JAN!G15</f>
        <v>235</v>
      </c>
      <c r="H15" s="69">
        <f>F15*G15</f>
        <v>2115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0</v>
      </c>
      <c r="G16" s="65">
        <f>JAN!G16</f>
        <v>315</v>
      </c>
      <c r="H16" s="69">
        <f>F16*G16</f>
        <v>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64493.08</v>
      </c>
      <c r="I17" s="29" t="s">
        <v>107</v>
      </c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-163030.16999999998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1024.07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1914.58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58275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3860.3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1397.01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2150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4771.8999999999996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7150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3351.56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12673.5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3133.74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134904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93"/>
      <c r="C45" s="74"/>
      <c r="D45" s="74"/>
      <c r="E45" s="92">
        <v>3378.75</v>
      </c>
      <c r="F45" s="74"/>
      <c r="G45" s="157" t="s">
        <v>108</v>
      </c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237984.41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250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0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1260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0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44968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93"/>
      <c r="C73" s="74"/>
      <c r="D73" s="74"/>
      <c r="E73" s="92">
        <v>450</v>
      </c>
      <c r="F73" s="74"/>
      <c r="G73" s="93" t="s">
        <v>109</v>
      </c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48368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163030.16999999998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9519.17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153510.99999999997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JAN!I84+1</f>
        <v>2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76755.499999999985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5"/>
      <c r="C88" s="87"/>
      <c r="D88" s="87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66"/>
      <c r="C89" s="50"/>
      <c r="D89" s="50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2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86"/>
      <c r="C90" s="87"/>
      <c r="D90" s="87"/>
      <c r="G90" s="13" t="str">
        <f>G83</f>
        <v>Amount Due:</v>
      </c>
      <c r="H90" s="16"/>
      <c r="I90" s="140">
        <f>I83</f>
        <v>76755.499999999985</v>
      </c>
      <c r="J90" s="140"/>
      <c r="K90" s="141"/>
    </row>
    <row r="91" spans="1:11" x14ac:dyDescent="0.2">
      <c r="A91" s="53"/>
      <c r="B91" s="53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86"/>
      <c r="C92" s="87"/>
      <c r="D92" s="87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C93" s="3"/>
      <c r="D93" s="3"/>
    </row>
    <row r="94" spans="1:11" x14ac:dyDescent="0.2">
      <c r="F94" s="3"/>
    </row>
  </sheetData>
  <mergeCells count="24">
    <mergeCell ref="A4:J4"/>
    <mergeCell ref="A20:K20"/>
    <mergeCell ref="A1:K1"/>
    <mergeCell ref="A2:K2"/>
    <mergeCell ref="I77:K77"/>
    <mergeCell ref="A76:D76"/>
    <mergeCell ref="G45:H45"/>
    <mergeCell ref="G80:K80"/>
    <mergeCell ref="I81:K81"/>
    <mergeCell ref="I83:K83"/>
    <mergeCell ref="A48:K48"/>
    <mergeCell ref="G75:K75"/>
    <mergeCell ref="I76:K76"/>
    <mergeCell ref="I78:K78"/>
    <mergeCell ref="A78:D78"/>
    <mergeCell ref="A81:D81"/>
    <mergeCell ref="A82:D82"/>
    <mergeCell ref="A83:D83"/>
    <mergeCell ref="H92:K92"/>
    <mergeCell ref="A84:D84"/>
    <mergeCell ref="H85:K85"/>
    <mergeCell ref="G87:K87"/>
    <mergeCell ref="I88:K88"/>
    <mergeCell ref="I90:K90"/>
  </mergeCells>
  <phoneticPr fontId="2" type="noConversion"/>
  <pageMargins left="1.62" right="0.75" top="0.43" bottom="0.7" header="0.44" footer="0.5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28" zoomScale="75" zoomScaleNormal="75" workbookViewId="0">
      <selection activeCell="E44" sqref="E44"/>
    </sheetView>
  </sheetViews>
  <sheetFormatPr defaultColWidth="9.140625" defaultRowHeight="15" x14ac:dyDescent="0.2"/>
  <cols>
    <col min="1" max="2" width="9.140625" style="2"/>
    <col min="3" max="3" width="13.140625" style="2" customWidth="1"/>
    <col min="4" max="4" width="18.7109375" style="2" customWidth="1"/>
    <col min="5" max="5" width="15.7109375" style="2" customWidth="1"/>
    <col min="6" max="6" width="10.42578125" style="2" customWidth="1"/>
    <col min="7" max="7" width="21.85546875" style="2" customWidth="1"/>
    <col min="8" max="8" width="23" style="2" customWidth="1"/>
    <col min="9" max="9" width="4.85546875" style="2" customWidth="1"/>
    <col min="10" max="10" width="5.28515625" style="2" customWidth="1"/>
    <col min="11" max="11" width="8.425781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FEB!A4+28</f>
        <v>42803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61283.65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108">
        <f>-E46</f>
        <v>-85109.94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-122361.92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30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311</v>
      </c>
      <c r="G14" s="65">
        <f>JAN!G14</f>
        <v>136</v>
      </c>
      <c r="H14" s="69">
        <f>F14*G14</f>
        <v>42296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9</v>
      </c>
      <c r="G15" s="65">
        <f>JAN!G15</f>
        <v>235</v>
      </c>
      <c r="H15" s="69">
        <f>F15*G15</f>
        <v>2115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0</v>
      </c>
      <c r="G16" s="65">
        <f>JAN!G16</f>
        <v>315</v>
      </c>
      <c r="H16" s="69">
        <f>F16*G16</f>
        <v>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f>12156.42+76755.5</f>
        <v>88911.92</v>
      </c>
      <c r="I17" s="29" t="s">
        <v>107</v>
      </c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-12865.289999999994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1737.12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1682.02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130.44999999999999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37914.92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6140.3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465.67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1710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4462.46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8307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D41" s="105"/>
      <c r="E41" s="91">
        <f>12045+1595</f>
        <v>13640</v>
      </c>
      <c r="G41" s="55" t="str">
        <f>JAN!G43</f>
        <v>consultant/swales</v>
      </c>
      <c r="H41" s="56" t="s">
        <v>113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D43" s="56" t="s">
        <v>111</v>
      </c>
      <c r="E43" s="92">
        <v>450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0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>
        <v>8470</v>
      </c>
      <c r="F45" s="74"/>
      <c r="G45" s="157" t="s">
        <v>110</v>
      </c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85109.94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130.44999999999999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21035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1300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3000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95456.47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12" t="s">
        <v>112</v>
      </c>
      <c r="C73" s="112"/>
      <c r="D73" s="113"/>
      <c r="E73" s="114">
        <v>24710</v>
      </c>
      <c r="F73" s="74"/>
      <c r="G73" s="115" t="s">
        <v>114</v>
      </c>
      <c r="H73" s="116"/>
      <c r="I73" s="116"/>
      <c r="J73" s="116"/>
      <c r="K73" s="116"/>
    </row>
    <row r="74" spans="1:11" s="56" customFormat="1" ht="15.75" thickBot="1" x14ac:dyDescent="0.25">
      <c r="B74" s="78" t="s">
        <v>45</v>
      </c>
      <c r="C74" s="1"/>
      <c r="D74" s="1"/>
      <c r="E74" s="79">
        <f>SUM(E50:E72)</f>
        <v>122361.92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12865.289999999994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13441.04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0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FEB!I82+1</f>
        <v>3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117"/>
      <c r="F83" s="117"/>
      <c r="G83" s="13" t="str">
        <f>JAN!G85</f>
        <v>Amount Due:</v>
      </c>
      <c r="H83" s="35"/>
      <c r="I83" s="140">
        <f>SUM(I76+E73)/2</f>
        <v>18787.644999999997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3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E90" s="117"/>
      <c r="F90" s="117"/>
      <c r="G90" s="13" t="str">
        <f>G83</f>
        <v>Amount Due:</v>
      </c>
      <c r="H90" s="16"/>
      <c r="I90" s="140">
        <f>I83</f>
        <v>18787.644999999997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5">
    <mergeCell ref="I90:K90"/>
    <mergeCell ref="H92:K92"/>
    <mergeCell ref="B45:D45"/>
    <mergeCell ref="A82:D82"/>
    <mergeCell ref="A83:D83"/>
    <mergeCell ref="I83:K83"/>
    <mergeCell ref="A84:D84"/>
    <mergeCell ref="H85:K85"/>
    <mergeCell ref="A78:D78"/>
    <mergeCell ref="I78:K78"/>
    <mergeCell ref="G80:K80"/>
    <mergeCell ref="A81:D81"/>
    <mergeCell ref="I81:K81"/>
    <mergeCell ref="I77:K77"/>
    <mergeCell ref="A1:K1"/>
    <mergeCell ref="A2:K2"/>
    <mergeCell ref="G45:H45"/>
    <mergeCell ref="G87:K87"/>
    <mergeCell ref="I88:K88"/>
    <mergeCell ref="A48:K48"/>
    <mergeCell ref="G75:K75"/>
    <mergeCell ref="A76:D76"/>
    <mergeCell ref="I76:K76"/>
    <mergeCell ref="A4:J4"/>
    <mergeCell ref="A20:K20"/>
  </mergeCells>
  <phoneticPr fontId="2" type="noConversion"/>
  <pageMargins left="1.26" right="0.75" top="0.42" bottom="0.28999999999999998" header="0.5" footer="0.28999999999999998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73" zoomScale="75" zoomScaleNormal="75" workbookViewId="0">
      <selection activeCell="N46" sqref="N46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20.42578125" style="2" customWidth="1"/>
    <col min="9" max="9" width="15.8554687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MAR!A4+32</f>
        <v>42835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74421.009999999995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108">
        <f>-E46</f>
        <v>-184080.78999999998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-119991.92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316</v>
      </c>
      <c r="G14" s="65">
        <f>JAN!G14</f>
        <v>136</v>
      </c>
      <c r="H14" s="69">
        <f>F14*G14</f>
        <v>42976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14</v>
      </c>
      <c r="G15" s="65">
        <f>JAN!G15</f>
        <v>235</v>
      </c>
      <c r="H15" s="69">
        <f>F15*G15</f>
        <v>3290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0</v>
      </c>
      <c r="G16" s="65">
        <f>JAN!G16</f>
        <v>315</v>
      </c>
      <c r="H16" s="69">
        <f>F16*G16</f>
        <v>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f>MAR!I90+FEB!I90+JAN!I92</f>
        <v>107699.56</v>
      </c>
      <c r="I17" s="29" t="s">
        <v>107</v>
      </c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-75686.139999999985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0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255</v>
      </c>
      <c r="G24" s="55" t="str">
        <f>JAN!G25</f>
        <v>fountains</v>
      </c>
      <c r="I24" s="56" t="s">
        <v>115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f>21035+21035</f>
        <v>42070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f>450+600+227.67+3092.95</f>
        <v>4370.62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1241.79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2542.3200000000002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300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2398.6799999999998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300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6651.06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7360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3351.56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8307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8425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800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251.29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95456.47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/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184080.78999999998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130.44999999999999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21665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1300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0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95456.47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119991.92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75686.139999999985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9187.0499999999993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66499.089999999982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MAR!I82+1</f>
        <v>4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33249.544999999991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4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33249.544999999991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I88:K88"/>
    <mergeCell ref="I90:K90"/>
    <mergeCell ref="H92:K92"/>
    <mergeCell ref="B45:D45"/>
    <mergeCell ref="B73:C73"/>
    <mergeCell ref="A83:D83"/>
    <mergeCell ref="I83:K83"/>
    <mergeCell ref="A84:D84"/>
    <mergeCell ref="H85:K85"/>
    <mergeCell ref="G87:K87"/>
    <mergeCell ref="A78:D78"/>
    <mergeCell ref="I78:K78"/>
    <mergeCell ref="G80:K80"/>
    <mergeCell ref="A81:D81"/>
    <mergeCell ref="A82:D82"/>
    <mergeCell ref="G45:H45"/>
    <mergeCell ref="G75:K75"/>
    <mergeCell ref="A76:D76"/>
    <mergeCell ref="I76:K76"/>
    <mergeCell ref="I81:K81"/>
    <mergeCell ref="I77:K77"/>
    <mergeCell ref="A4:J4"/>
    <mergeCell ref="A20:K20"/>
    <mergeCell ref="A1:K1"/>
    <mergeCell ref="A2:K2"/>
    <mergeCell ref="A48:K48"/>
  </mergeCells>
  <phoneticPr fontId="2" type="noConversion"/>
  <pageMargins left="1.6" right="0.66" top="0.52" bottom="0.52" header="0.5" footer="0.5"/>
  <pageSetup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70" zoomScale="75" zoomScaleNormal="75" workbookViewId="0">
      <selection activeCell="E44" sqref="E44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41.140625" style="2" customWidth="1"/>
    <col min="9" max="9" width="18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APR!A4+29</f>
        <v>42864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68054.84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-173636.22999999998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-12627.77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320</v>
      </c>
      <c r="G14" s="65">
        <f>JAN!G14</f>
        <v>136</v>
      </c>
      <c r="H14" s="69">
        <f>F14*G14</f>
        <v>43520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16</v>
      </c>
      <c r="G15" s="65">
        <f>JAN!G15</f>
        <v>235</v>
      </c>
      <c r="H15" s="69">
        <f>F15*G15</f>
        <v>3760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1</v>
      </c>
      <c r="G16" s="65">
        <f>JAN!G16</f>
        <v>315</v>
      </c>
      <c r="H16" s="69">
        <f>F16*G16</f>
        <v>315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33249.550000000003</v>
      </c>
      <c r="I17" s="29" t="s">
        <v>120</v>
      </c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-37364.609999999986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0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255</v>
      </c>
      <c r="G24" s="55" t="str">
        <f>JAN!G25</f>
        <v>fountains</v>
      </c>
      <c r="I24" s="56" t="s">
        <v>117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998.42</v>
      </c>
      <c r="G27" s="55" t="str">
        <f>JAN!G28</f>
        <v xml:space="preserve">gate access and clubhouse </v>
      </c>
      <c r="I27" s="56" t="s">
        <v>119</v>
      </c>
    </row>
    <row r="28" spans="1:11" s="56" customFormat="1" x14ac:dyDescent="0.2">
      <c r="B28" s="55" t="str">
        <f>JAN!B29</f>
        <v>Landscape vendor</v>
      </c>
      <c r="E28" s="91">
        <v>43330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80.349999999999994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2992.24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1607.15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300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3518.18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1950</v>
      </c>
      <c r="G38" s="55" t="str">
        <f>JAN!G40</f>
        <v>pond maintenance</v>
      </c>
      <c r="I38" s="56" t="s">
        <v>116</v>
      </c>
    </row>
    <row r="39" spans="1:11" s="56" customFormat="1" x14ac:dyDescent="0.2">
      <c r="B39" s="55" t="str">
        <f>JAN!B41</f>
        <v>Envera Systems</v>
      </c>
      <c r="E39" s="91">
        <v>3351.56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8573.25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672.11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95456.47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>
        <v>10551.5</v>
      </c>
      <c r="F45" s="74"/>
      <c r="G45" s="157" t="s">
        <v>118</v>
      </c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173636.22999999998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225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188.3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300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0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1200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1271.1600000000001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1300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3351.56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4632.75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159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12627.77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37364.609999999986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4529.47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32835.139999999985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67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APR!I82+1</f>
        <v>5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16417.569999999992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5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16417.569999999992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A84:D84"/>
    <mergeCell ref="G87:K87"/>
    <mergeCell ref="I88:K88"/>
    <mergeCell ref="I90:K90"/>
    <mergeCell ref="H92:K92"/>
    <mergeCell ref="H85:K85"/>
    <mergeCell ref="A78:D78"/>
    <mergeCell ref="I78:K78"/>
    <mergeCell ref="A81:D81"/>
    <mergeCell ref="A82:D82"/>
    <mergeCell ref="A83:D83"/>
    <mergeCell ref="G80:K80"/>
    <mergeCell ref="I81:K81"/>
    <mergeCell ref="I83:K83"/>
    <mergeCell ref="A48:K48"/>
    <mergeCell ref="G75:K75"/>
    <mergeCell ref="A76:D76"/>
    <mergeCell ref="I77:K77"/>
    <mergeCell ref="B45:D45"/>
    <mergeCell ref="B73:C73"/>
    <mergeCell ref="I76:K76"/>
    <mergeCell ref="A4:J4"/>
    <mergeCell ref="A20:K20"/>
    <mergeCell ref="A1:K1"/>
    <mergeCell ref="A2:K2"/>
    <mergeCell ref="G45:H45"/>
  </mergeCells>
  <phoneticPr fontId="2" type="noConversion"/>
  <pageMargins left="2" right="0.75" top="0.52" bottom="1" header="0.5" footer="0.5"/>
  <pageSetup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75" zoomScale="75" zoomScaleNormal="75" workbookViewId="0">
      <selection activeCell="K70" sqref="K70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7.425781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6" style="2" customWidth="1"/>
    <col min="9" max="9" width="28.8554687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MAY!A4+30</f>
        <v>42894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35722.730000000003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108">
        <f>-E46</f>
        <v>-125549.87999999999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-88640.06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321</v>
      </c>
      <c r="G14" s="65">
        <f>JAN!G14</f>
        <v>136</v>
      </c>
      <c r="H14" s="69">
        <f>F14*G14</f>
        <v>43656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22</v>
      </c>
      <c r="G15" s="65">
        <f>JAN!G15</f>
        <v>235</v>
      </c>
      <c r="H15" s="69">
        <f>F15*G15</f>
        <v>5170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2</v>
      </c>
      <c r="G16" s="65">
        <f>JAN!G16</f>
        <v>315</v>
      </c>
      <c r="H16" s="69">
        <f>F16*G16</f>
        <v>630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67608.789999999994</v>
      </c>
      <c r="I17" s="29" t="s">
        <v>121</v>
      </c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-61402.42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1589.03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1738.75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196.15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48090.06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80.349999999999994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776.12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2250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2780.4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26634.84</v>
      </c>
      <c r="F36" s="56"/>
      <c r="G36" s="55" t="str">
        <f>JAN!G37</f>
        <v>technician services/parts</v>
      </c>
      <c r="H36" s="56"/>
      <c r="I36" s="56" t="s">
        <v>122</v>
      </c>
      <c r="J36" s="56"/>
      <c r="K36" s="56"/>
    </row>
    <row r="37" spans="1:11" s="56" customFormat="1" x14ac:dyDescent="0.2">
      <c r="B37" s="55" t="str">
        <f>JAN!B38</f>
        <v>Electrical Repairs</v>
      </c>
      <c r="E37" s="91">
        <v>211</v>
      </c>
      <c r="G37" s="55" t="str">
        <f>JAN!G38</f>
        <v>common areas</v>
      </c>
      <c r="I37" s="56" t="s">
        <v>123</v>
      </c>
    </row>
    <row r="38" spans="1:11" s="56" customFormat="1" x14ac:dyDescent="0.2">
      <c r="B38" s="55" t="str">
        <f>JAN!B40</f>
        <v>Aquatic Maintenance</v>
      </c>
      <c r="E38" s="91">
        <v>7570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1341.9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12939.75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13105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4577.78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309.75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1359</v>
      </c>
      <c r="F44" s="74"/>
      <c r="G44" s="55" t="str">
        <f>JAN!G46</f>
        <v>per engineer's report &amp; CPA calcs</v>
      </c>
      <c r="H44" s="74"/>
      <c r="I44" s="74" t="s">
        <v>126</v>
      </c>
      <c r="J44" s="74"/>
      <c r="K44" s="74"/>
    </row>
    <row r="45" spans="1:11" s="56" customFormat="1" x14ac:dyDescent="0.2">
      <c r="A45" s="74"/>
      <c r="B45" s="157"/>
      <c r="C45" s="157"/>
      <c r="D45" s="157"/>
      <c r="E45" s="92"/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125549.87999999999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9" s="56" customFormat="1" x14ac:dyDescent="0.2"/>
    <row r="50" spans="2:9" s="56" customFormat="1" x14ac:dyDescent="0.2">
      <c r="B50" s="55" t="str">
        <f>B22</f>
        <v>Water &amp; Sewer</v>
      </c>
      <c r="E50" s="91">
        <v>0</v>
      </c>
      <c r="G50" s="55" t="str">
        <f>G22</f>
        <v>irrigation invoices</v>
      </c>
    </row>
    <row r="51" spans="2:9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9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9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9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9" s="56" customFormat="1" x14ac:dyDescent="0.2">
      <c r="B55" s="55" t="str">
        <f t="shared" si="0"/>
        <v>Phone lines - Gate &amp; Office</v>
      </c>
      <c r="E55" s="91">
        <v>320</v>
      </c>
      <c r="G55" s="55" t="str">
        <f t="shared" si="1"/>
        <v xml:space="preserve">gate access and clubhouse </v>
      </c>
    </row>
    <row r="56" spans="2:9" s="56" customFormat="1" x14ac:dyDescent="0.2">
      <c r="B56" s="55" t="str">
        <f t="shared" si="0"/>
        <v>Landscape vendor</v>
      </c>
      <c r="E56" s="91">
        <v>21665</v>
      </c>
      <c r="G56" s="55" t="str">
        <f t="shared" si="1"/>
        <v>LS maintenance contract</v>
      </c>
    </row>
    <row r="57" spans="2:9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9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9" s="56" customFormat="1" x14ac:dyDescent="0.2">
      <c r="B59" s="55" t="str">
        <f t="shared" si="0"/>
        <v>Windom Solutions (Stan)</v>
      </c>
      <c r="E59" s="91">
        <v>1200</v>
      </c>
      <c r="G59" s="55" t="str">
        <f t="shared" si="1"/>
        <v>On site maintenance/janitorial</v>
      </c>
      <c r="I59" s="56" t="s">
        <v>124</v>
      </c>
    </row>
    <row r="60" spans="2:9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9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9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9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9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7570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3351.56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4366.5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2400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f>44968+1359</f>
        <v>46327</v>
      </c>
      <c r="G72" s="55" t="str">
        <f t="shared" si="1"/>
        <v>per engineer's report &amp; CPA calcs</v>
      </c>
      <c r="H72" s="74"/>
      <c r="I72" s="56" t="s">
        <v>125</v>
      </c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88640.06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61402.42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10971.52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50430.899999999994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MAY!I82+1</f>
        <v>6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25215.449999999997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6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25215.449999999997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H92:K92"/>
    <mergeCell ref="B45:D45"/>
    <mergeCell ref="B73:C73"/>
    <mergeCell ref="A84:D84"/>
    <mergeCell ref="H85:K85"/>
    <mergeCell ref="G87:K87"/>
    <mergeCell ref="I88:K88"/>
    <mergeCell ref="I90:K90"/>
    <mergeCell ref="A81:D81"/>
    <mergeCell ref="I81:K81"/>
    <mergeCell ref="A82:D82"/>
    <mergeCell ref="A83:D83"/>
    <mergeCell ref="I83:K83"/>
    <mergeCell ref="G45:H45"/>
    <mergeCell ref="A48:K48"/>
    <mergeCell ref="A76:D76"/>
    <mergeCell ref="G80:K80"/>
    <mergeCell ref="A4:J4"/>
    <mergeCell ref="A20:K20"/>
    <mergeCell ref="A1:K1"/>
    <mergeCell ref="A2:K2"/>
    <mergeCell ref="I77:K77"/>
    <mergeCell ref="A78:D78"/>
    <mergeCell ref="G75:K75"/>
    <mergeCell ref="I76:K76"/>
    <mergeCell ref="I78:K78"/>
  </mergeCells>
  <phoneticPr fontId="2" type="noConversion"/>
  <pageMargins left="1.21" right="0.75" top="0.52" bottom="0.74" header="0.5" footer="0.5"/>
  <pageSetup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44" zoomScale="75" zoomScaleNormal="75" workbookViewId="0">
      <selection activeCell="L106" sqref="L106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5" style="2" customWidth="1"/>
    <col min="9" max="9" width="2.85546875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JUN!A4+32</f>
        <v>42926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45094.89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-55246.31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-88939.62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332</v>
      </c>
      <c r="G14" s="65">
        <f>JAN!G14</f>
        <v>136</v>
      </c>
      <c r="H14" s="69">
        <f>F14*G14</f>
        <v>45152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27</v>
      </c>
      <c r="G15" s="65">
        <f>JAN!G15</f>
        <v>235</v>
      </c>
      <c r="H15" s="69">
        <f>F15*G15</f>
        <v>6345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2</v>
      </c>
      <c r="G16" s="65">
        <f>JAN!G16</f>
        <v>315</v>
      </c>
      <c r="H16" s="69">
        <f>F16*G16</f>
        <v>630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0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-46964.039999999994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1267.3599999999999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1589.58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21665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4845.3100000000004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0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132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3351.56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3940.5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13105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3250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0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 t="s">
        <v>127</v>
      </c>
      <c r="C45" s="157"/>
      <c r="D45" s="157"/>
      <c r="E45" s="92">
        <v>2100</v>
      </c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55246.31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1300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v>0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4200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320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21665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1200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5195.5600000000004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3351.56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3940.5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carpet cleaning, fitness equip repairs, AC maint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f>44968+1359</f>
        <v>46327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88939.62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46964.039999999994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8453.5300000000007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38510.509999999995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JUN!I82+1</f>
        <v>7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19255.254999999997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7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19255.254999999997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H92:K92"/>
    <mergeCell ref="B45:D45"/>
    <mergeCell ref="B73:C73"/>
    <mergeCell ref="A84:D84"/>
    <mergeCell ref="H85:K85"/>
    <mergeCell ref="G87:K87"/>
    <mergeCell ref="I88:K88"/>
    <mergeCell ref="I90:K90"/>
    <mergeCell ref="A81:D81"/>
    <mergeCell ref="I81:K81"/>
    <mergeCell ref="A82:D82"/>
    <mergeCell ref="A83:D83"/>
    <mergeCell ref="I83:K83"/>
    <mergeCell ref="A48:K48"/>
    <mergeCell ref="G75:K75"/>
    <mergeCell ref="A76:D76"/>
    <mergeCell ref="I76:K76"/>
    <mergeCell ref="A78:D78"/>
    <mergeCell ref="I78:K78"/>
    <mergeCell ref="I77:K77"/>
    <mergeCell ref="G80:K80"/>
    <mergeCell ref="A4:J4"/>
    <mergeCell ref="A20:K20"/>
    <mergeCell ref="A1:K1"/>
    <mergeCell ref="A2:K2"/>
    <mergeCell ref="G45:H45"/>
  </mergeCells>
  <phoneticPr fontId="2" type="noConversion"/>
  <pageMargins left="2" right="0.75" top="0.52" bottom="1" header="0.5" footer="0.5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34" zoomScale="75" zoomScaleNormal="75" workbookViewId="0">
      <selection activeCell="H18" sqref="H18"/>
    </sheetView>
  </sheetViews>
  <sheetFormatPr defaultColWidth="9.140625" defaultRowHeight="15" x14ac:dyDescent="0.2"/>
  <cols>
    <col min="1" max="2" width="9.140625" style="2"/>
    <col min="3" max="3" width="12" style="2" customWidth="1"/>
    <col min="4" max="4" width="15.57031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5" style="2" customWidth="1"/>
    <col min="9" max="9" width="20" style="2" customWidth="1"/>
    <col min="10" max="10" width="3.28515625" style="2" customWidth="1"/>
    <col min="11" max="11" width="12.28515625" style="2" customWidth="1"/>
    <col min="12" max="12" width="8.140625" style="2" bestFit="1" customWidth="1"/>
    <col min="13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JUL!A4+30</f>
        <v>42956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118">
        <v>37000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108">
        <f>-E46</f>
        <v>-142706.23000000001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108">
        <f>-E74</f>
        <v>-34044.29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338</v>
      </c>
      <c r="G14" s="65">
        <f>JAN!G14</f>
        <v>136</v>
      </c>
      <c r="H14" s="69">
        <f>F14*G14</f>
        <v>45968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34</v>
      </c>
      <c r="G15" s="65">
        <f>JAN!G15</f>
        <v>235</v>
      </c>
      <c r="H15" s="69">
        <f>F15*G15</f>
        <v>7990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3</v>
      </c>
      <c r="G16" s="65">
        <f>JAN!G16</f>
        <v>315</v>
      </c>
      <c r="H16" s="69">
        <f>F16*G16</f>
        <v>945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0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119">
        <f>IF(SUM(H8:H17)&gt;0,0,SUM(H8:H17))</f>
        <v>-84847.520000000019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3533.76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0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61.53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D28" s="56" t="s">
        <v>128</v>
      </c>
      <c r="E28" s="91">
        <v>21665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0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776.12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f>750+1010</f>
        <v>1760</v>
      </c>
      <c r="G33" s="55" t="str">
        <f>JAN!G34</f>
        <v>HOA attorney expenses</v>
      </c>
      <c r="I33" s="56" t="s">
        <v>151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">
        <v>130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312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14500</v>
      </c>
      <c r="G38" s="55" t="str">
        <f>JAN!G40</f>
        <v>pond maintenance</v>
      </c>
      <c r="H38" s="56" t="s">
        <v>153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7881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5077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195.75</v>
      </c>
      <c r="G43" s="55" t="str">
        <f>JAN!G45</f>
        <v>carpet cleaning, fitness equip repairs, AC maint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83469.070000000007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 t="s">
        <v>129</v>
      </c>
      <c r="C45" s="157"/>
      <c r="D45" s="157"/>
      <c r="E45" s="92">
        <v>3475</v>
      </c>
      <c r="F45" s="74"/>
      <c r="G45" s="157" t="s">
        <v>132</v>
      </c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142706.23000000001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9" s="56" customFormat="1" x14ac:dyDescent="0.2"/>
    <row r="50" spans="2:9" s="56" customFormat="1" x14ac:dyDescent="0.2">
      <c r="B50" s="55" t="str">
        <f>B22</f>
        <v>Water &amp; Sewer</v>
      </c>
      <c r="E50" s="91">
        <v>4702.0200000000004</v>
      </c>
      <c r="G50" s="55" t="str">
        <f>G22</f>
        <v>irrigation invoices</v>
      </c>
    </row>
    <row r="51" spans="2:9" s="56" customFormat="1" x14ac:dyDescent="0.2">
      <c r="B51" s="55" t="str">
        <f t="shared" ref="B51:B72" si="0">B23</f>
        <v>Electric</v>
      </c>
      <c r="E51" s="91">
        <v>1807.12</v>
      </c>
      <c r="G51" s="55" t="str">
        <f t="shared" ref="G51:G70" si="1">G23</f>
        <v>common area electric incl fountains</v>
      </c>
    </row>
    <row r="52" spans="2:9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9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9" s="56" customFormat="1" x14ac:dyDescent="0.2">
      <c r="B54" s="55" t="str">
        <f t="shared" si="0"/>
        <v>Electric</v>
      </c>
      <c r="E54" s="91">
        <v>0</v>
      </c>
      <c r="G54" s="55" t="str">
        <f t="shared" si="1"/>
        <v>street lights</v>
      </c>
    </row>
    <row r="55" spans="2:9" s="56" customFormat="1" x14ac:dyDescent="0.2">
      <c r="B55" s="55" t="str">
        <f t="shared" si="0"/>
        <v>Phone lines - Gate &amp; Office</v>
      </c>
      <c r="E55" s="91">
        <v>167.42</v>
      </c>
      <c r="G55" s="55" t="str">
        <f t="shared" si="1"/>
        <v xml:space="preserve">gate access and clubhouse </v>
      </c>
    </row>
    <row r="56" spans="2:9" s="56" customFormat="1" x14ac:dyDescent="0.2">
      <c r="B56" s="55" t="str">
        <f t="shared" si="0"/>
        <v>Landscape vendor</v>
      </c>
      <c r="E56" s="91">
        <v>11888.8</v>
      </c>
      <c r="G56" s="55" t="str">
        <f t="shared" si="1"/>
        <v>LS maintenance contract</v>
      </c>
    </row>
    <row r="57" spans="2:9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9" s="56" customFormat="1" x14ac:dyDescent="0.2">
      <c r="B58" s="55" t="str">
        <f t="shared" si="0"/>
        <v>Pool Contract Service</v>
      </c>
      <c r="E58" s="91">
        <v>2241.12</v>
      </c>
      <c r="G58" s="55" t="str">
        <f t="shared" si="1"/>
        <v>maintenance + chemicals</v>
      </c>
    </row>
    <row r="59" spans="2:9" s="56" customFormat="1" x14ac:dyDescent="0.2">
      <c r="B59" s="55" t="str">
        <f t="shared" si="0"/>
        <v>Windom Solutions (Stan)</v>
      </c>
      <c r="E59" s="91">
        <v>1200</v>
      </c>
      <c r="G59" s="55" t="str">
        <f t="shared" si="1"/>
        <v>On site maintenance/janitorial</v>
      </c>
    </row>
    <row r="60" spans="2:9" s="56" customFormat="1" x14ac:dyDescent="0.2">
      <c r="B60" s="55" t="str">
        <f t="shared" si="0"/>
        <v>HOA insurance</v>
      </c>
      <c r="E60" s="91">
        <v>0</v>
      </c>
      <c r="G60" s="55" t="str">
        <f t="shared" si="1"/>
        <v>insurance payment</v>
      </c>
    </row>
    <row r="61" spans="2:9" s="56" customFormat="1" x14ac:dyDescent="0.2">
      <c r="B61" s="55" t="str">
        <f t="shared" si="0"/>
        <v>Legal expenses</v>
      </c>
      <c r="E61" s="91">
        <v>1500</v>
      </c>
      <c r="G61" s="55" t="str">
        <f t="shared" si="1"/>
        <v>HOA attorney expenses</v>
      </c>
      <c r="I61" s="56" t="s">
        <v>152</v>
      </c>
    </row>
    <row r="62" spans="2:9" s="56" customFormat="1" x14ac:dyDescent="0.2">
      <c r="B62" s="55" t="str">
        <f t="shared" si="0"/>
        <v>Management fees</v>
      </c>
      <c r="E62" s="91">
        <v>0</v>
      </c>
      <c r="G62" s="55" t="str">
        <f t="shared" si="1"/>
        <v>monthly management fee</v>
      </c>
    </row>
    <row r="63" spans="2:9" s="56" customFormat="1" x14ac:dyDescent="0.2">
      <c r="B63" s="55" t="str">
        <f t="shared" si="0"/>
        <v>Administrative costs</v>
      </c>
      <c r="E63" s="91">
        <v>0</v>
      </c>
      <c r="G63" s="55" t="str">
        <f t="shared" si="1"/>
        <v>phone line clubhouse</v>
      </c>
    </row>
    <row r="64" spans="2:9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2600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3351.56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3940.5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0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195.75</v>
      </c>
      <c r="G71" s="55" t="s">
        <v>131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">
        <v>133</v>
      </c>
      <c r="H72" s="74"/>
    </row>
    <row r="73" spans="1:11" s="56" customFormat="1" x14ac:dyDescent="0.2">
      <c r="A73" s="74"/>
      <c r="B73" s="157" t="s">
        <v>135</v>
      </c>
      <c r="C73" s="157"/>
      <c r="D73" s="74"/>
      <c r="E73" s="92">
        <v>450</v>
      </c>
      <c r="F73" s="74"/>
      <c r="G73" s="93" t="s">
        <v>134</v>
      </c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34044.29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84847.520000000019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12365.48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72482.040000000023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JUL!I82+1</f>
        <v>8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36241.020000000011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8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36241.020000000011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I90:K90"/>
    <mergeCell ref="H92:K92"/>
    <mergeCell ref="B45:D45"/>
    <mergeCell ref="B73:C73"/>
    <mergeCell ref="A82:D82"/>
    <mergeCell ref="A83:D83"/>
    <mergeCell ref="I83:K83"/>
    <mergeCell ref="A84:D84"/>
    <mergeCell ref="H85:K85"/>
    <mergeCell ref="I76:K76"/>
    <mergeCell ref="A78:D78"/>
    <mergeCell ref="I78:K78"/>
    <mergeCell ref="G80:K80"/>
    <mergeCell ref="A81:D81"/>
    <mergeCell ref="I81:K81"/>
    <mergeCell ref="I77:K77"/>
    <mergeCell ref="G87:K87"/>
    <mergeCell ref="I88:K88"/>
    <mergeCell ref="A1:K1"/>
    <mergeCell ref="A2:K2"/>
    <mergeCell ref="A4:J4"/>
    <mergeCell ref="A20:K20"/>
    <mergeCell ref="G45:H45"/>
    <mergeCell ref="A48:K48"/>
    <mergeCell ref="G75:K75"/>
    <mergeCell ref="A76:D76"/>
  </mergeCells>
  <phoneticPr fontId="2" type="noConversion"/>
  <pageMargins left="1.36" right="0.75" top="0.52" bottom="0.51" header="0.5" footer="0.5"/>
  <pageSetup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75" zoomScaleNormal="75" workbookViewId="0">
      <selection activeCell="N66" sqref="N66"/>
    </sheetView>
  </sheetViews>
  <sheetFormatPr defaultColWidth="9.140625" defaultRowHeight="15" x14ac:dyDescent="0.2"/>
  <cols>
    <col min="1" max="2" width="9.140625" style="2"/>
    <col min="3" max="3" width="9.7109375" style="2" customWidth="1"/>
    <col min="4" max="4" width="11.28515625" style="2" customWidth="1"/>
    <col min="5" max="5" width="15.7109375" style="2" customWidth="1"/>
    <col min="6" max="6" width="6.42578125" style="2" customWidth="1"/>
    <col min="7" max="7" width="21.85546875" style="2" customWidth="1"/>
    <col min="8" max="8" width="15" style="2" customWidth="1"/>
    <col min="9" max="9" width="3" style="2" customWidth="1"/>
    <col min="10" max="10" width="3.28515625" style="2" customWidth="1"/>
    <col min="11" max="11" width="12.28515625" style="2" customWidth="1"/>
    <col min="12" max="16384" width="9.140625" style="2"/>
  </cols>
  <sheetData>
    <row r="1" spans="1:11" x14ac:dyDescent="0.2">
      <c r="A1" s="164" t="str">
        <f>JAN!A1:J1</f>
        <v>Hickory Hammock at Johns Lake Community Association, Inc.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2">
      <c r="A2" s="164" t="str">
        <f>JAN!A2:J2</f>
        <v>Deficit Funding Request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7.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5.75" customHeight="1" x14ac:dyDescent="0.2">
      <c r="A4" s="165">
        <f>AUG!A4+30</f>
        <v>42986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1" ht="7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53" customFormat="1" x14ac:dyDescent="0.25">
      <c r="A6" s="22"/>
      <c r="B6" s="22"/>
      <c r="C6" s="22"/>
      <c r="D6" s="22"/>
      <c r="E6" s="22"/>
      <c r="F6" s="22"/>
      <c r="G6" s="22"/>
      <c r="H6" s="54" t="str">
        <f>JAN!H6</f>
        <v>NOTE:  ONLY INSERT AMOUNTS HIGHLIGHTED IN YELLOW</v>
      </c>
    </row>
    <row r="7" spans="1:11" s="53" customFormat="1" x14ac:dyDescent="0.25"/>
    <row r="8" spans="1:11" s="56" customFormat="1" x14ac:dyDescent="0.2">
      <c r="A8" s="55" t="str">
        <f>JAN!A8</f>
        <v xml:space="preserve">Current Cash Balance: </v>
      </c>
      <c r="G8" s="105" t="str">
        <f>JAN!G8</f>
        <v>cash balance to date:</v>
      </c>
      <c r="H8" s="88">
        <v>14000</v>
      </c>
    </row>
    <row r="9" spans="1:11" s="56" customFormat="1" x14ac:dyDescent="0.2">
      <c r="A9" s="55" t="str">
        <f>JAN!A9</f>
        <v>Less Current Unpaid Expenses:</v>
      </c>
      <c r="G9" s="56" t="str">
        <f>JAN!G9</f>
        <v>auto calculates</v>
      </c>
      <c r="H9" s="57">
        <f>-E46</f>
        <v>-90660.66</v>
      </c>
      <c r="I9" s="58"/>
    </row>
    <row r="10" spans="1:11" s="56" customFormat="1" x14ac:dyDescent="0.2">
      <c r="A10" s="55" t="str">
        <f>JAN!A10</f>
        <v>Less Estimated Monthly Expenses:</v>
      </c>
      <c r="G10" s="56" t="str">
        <f>JAN!G10</f>
        <v>auto calculates</v>
      </c>
      <c r="H10" s="57">
        <f>-E74</f>
        <v>-57902.55</v>
      </c>
      <c r="I10" s="58"/>
    </row>
    <row r="11" spans="1:11" s="60" customFormat="1" x14ac:dyDescent="0.2">
      <c r="A11" s="55"/>
      <c r="F11" s="61"/>
      <c r="G11" s="61"/>
      <c r="H11" s="62"/>
      <c r="I11" s="63"/>
    </row>
    <row r="12" spans="1:11" s="56" customFormat="1" ht="45" x14ac:dyDescent="0.2">
      <c r="A12" s="55"/>
      <c r="F12" s="64" t="str">
        <f>JAN!F12</f>
        <v>units closed</v>
      </c>
      <c r="G12" s="64" t="str">
        <f>JAN!G12</f>
        <v>monthly assessment</v>
      </c>
      <c r="H12" s="65"/>
    </row>
    <row r="13" spans="1:11" s="66" customFormat="1" x14ac:dyDescent="0.2">
      <c r="A13" s="55"/>
      <c r="F13" s="67"/>
      <c r="G13" s="67"/>
      <c r="H13" s="68"/>
    </row>
    <row r="14" spans="1:11" s="56" customFormat="1" x14ac:dyDescent="0.2">
      <c r="A14" s="55" t="str">
        <f>JAN!A14</f>
        <v>Plus Estimated Income: (SF Owner Assessments)</v>
      </c>
      <c r="B14" s="1"/>
      <c r="C14" s="1"/>
      <c r="D14" s="1"/>
      <c r="F14" s="89">
        <v>338</v>
      </c>
      <c r="G14" s="65">
        <f>JAN!G14</f>
        <v>136</v>
      </c>
      <c r="H14" s="69">
        <f>F14*G14</f>
        <v>45968</v>
      </c>
    </row>
    <row r="15" spans="1:11" s="56" customFormat="1" x14ac:dyDescent="0.2">
      <c r="A15" s="55" t="str">
        <f>JAN!A15</f>
        <v>Plus Estimated Income: (TH Owner assessments)</v>
      </c>
      <c r="B15" s="1"/>
      <c r="C15" s="1"/>
      <c r="D15" s="1"/>
      <c r="F15" s="89">
        <v>34</v>
      </c>
      <c r="G15" s="65">
        <f>JAN!G15</f>
        <v>235</v>
      </c>
      <c r="H15" s="69">
        <f>F15*G15</f>
        <v>7990</v>
      </c>
    </row>
    <row r="16" spans="1:11" s="56" customFormat="1" x14ac:dyDescent="0.2">
      <c r="A16" s="55" t="str">
        <f>JAN!A16</f>
        <v>Plus Estimated Income: (Emerald Pt Owner assessments due)</v>
      </c>
      <c r="B16" s="1"/>
      <c r="C16" s="1"/>
      <c r="D16" s="1"/>
      <c r="E16" s="70"/>
      <c r="F16" s="90">
        <v>3</v>
      </c>
      <c r="G16" s="65">
        <f>JAN!G16</f>
        <v>315</v>
      </c>
      <c r="H16" s="69">
        <f>F16*G16</f>
        <v>945</v>
      </c>
    </row>
    <row r="17" spans="1:11" s="56" customFormat="1" ht="15.75" x14ac:dyDescent="0.25">
      <c r="A17" s="55"/>
      <c r="B17" s="31"/>
      <c r="C17" s="31"/>
      <c r="D17" s="30"/>
      <c r="E17" s="29"/>
      <c r="F17" s="29"/>
      <c r="G17" s="41" t="str">
        <f>JAN!G17</f>
        <v>deficit funding not received</v>
      </c>
      <c r="H17" s="95">
        <v>36241.019999999997</v>
      </c>
      <c r="I17" s="29"/>
      <c r="J17" s="29"/>
      <c r="K17" s="29"/>
    </row>
    <row r="18" spans="1:11" s="56" customFormat="1" x14ac:dyDescent="0.2">
      <c r="A18" s="55" t="str">
        <f>JAN!A18</f>
        <v>DEFICIT FUNDING REQUEST:</v>
      </c>
      <c r="B18" s="71"/>
      <c r="C18" s="71"/>
      <c r="D18" s="70"/>
      <c r="E18" s="70"/>
      <c r="F18" s="70"/>
      <c r="G18" s="1"/>
      <c r="H18" s="96">
        <f>IF(SUM(H8:H17)&gt;0,0,SUM(H8:H17))</f>
        <v>-43419.190000000024</v>
      </c>
      <c r="I18" s="72"/>
      <c r="J18" s="70"/>
    </row>
    <row r="19" spans="1:11" s="56" customFormat="1" x14ac:dyDescent="0.2">
      <c r="A19" s="1"/>
      <c r="B19" s="71"/>
      <c r="C19" s="71"/>
      <c r="D19" s="70"/>
      <c r="G19" s="70"/>
      <c r="H19" s="70"/>
      <c r="J19" s="73"/>
    </row>
    <row r="20" spans="1:11" s="56" customFormat="1" x14ac:dyDescent="0.2">
      <c r="A20" s="147" t="str">
        <f>JAN!A20</f>
        <v>CURRENT UNPAID EXPENSES - ONLY INCLUDE WHAT HAS NOT BEEN PAID YET!!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  <row r="21" spans="1:11" s="56" customFormat="1" x14ac:dyDescent="0.2">
      <c r="B21" s="70"/>
      <c r="C21" s="70"/>
      <c r="D21" s="70"/>
      <c r="E21" s="70"/>
      <c r="F21" s="70"/>
      <c r="G21" s="70"/>
      <c r="H21" s="70"/>
      <c r="I21" s="70"/>
      <c r="J21" s="70"/>
    </row>
    <row r="22" spans="1:11" s="56" customFormat="1" x14ac:dyDescent="0.2">
      <c r="B22" s="55" t="str">
        <f>JAN!B22</f>
        <v>Water &amp; Sewer</v>
      </c>
      <c r="E22" s="91">
        <v>0</v>
      </c>
      <c r="G22" s="55" t="str">
        <f>JAN!G22</f>
        <v>irrigation invoices</v>
      </c>
    </row>
    <row r="23" spans="1:11" s="56" customFormat="1" x14ac:dyDescent="0.2">
      <c r="B23" s="55" t="str">
        <f>JAN!B24</f>
        <v>Electric</v>
      </c>
      <c r="E23" s="91">
        <v>0</v>
      </c>
      <c r="G23" s="55" t="str">
        <f>JAN!G24</f>
        <v>common area electric incl fountains</v>
      </c>
    </row>
    <row r="24" spans="1:11" s="56" customFormat="1" x14ac:dyDescent="0.2">
      <c r="B24" s="55" t="str">
        <f>JAN!B25</f>
        <v>Electric</v>
      </c>
      <c r="E24" s="91">
        <v>0</v>
      </c>
      <c r="G24" s="55" t="str">
        <f>JAN!G25</f>
        <v>fountains</v>
      </c>
    </row>
    <row r="25" spans="1:11" s="56" customFormat="1" x14ac:dyDescent="0.2">
      <c r="B25" s="55" t="str">
        <f>JAN!B26</f>
        <v>Electric</v>
      </c>
      <c r="E25" s="91">
        <v>0</v>
      </c>
      <c r="G25" s="55" t="str">
        <f>JAN!G26</f>
        <v>mail kiosk</v>
      </c>
    </row>
    <row r="26" spans="1:11" s="56" customFormat="1" x14ac:dyDescent="0.2">
      <c r="B26" s="55" t="str">
        <f>JAN!B27</f>
        <v>Electric</v>
      </c>
      <c r="E26" s="91">
        <v>8886.6200000000008</v>
      </c>
      <c r="G26" s="55" t="str">
        <f>JAN!G27</f>
        <v>street lights</v>
      </c>
    </row>
    <row r="27" spans="1:11" s="56" customFormat="1" x14ac:dyDescent="0.2">
      <c r="B27" s="55" t="str">
        <f>JAN!B28</f>
        <v>Phone lines - Gate &amp; Office</v>
      </c>
      <c r="E27" s="91">
        <v>0</v>
      </c>
      <c r="G27" s="55" t="str">
        <f>JAN!G28</f>
        <v xml:space="preserve">gate access and clubhouse </v>
      </c>
    </row>
    <row r="28" spans="1:11" s="56" customFormat="1" x14ac:dyDescent="0.2">
      <c r="B28" s="55" t="str">
        <f>JAN!B29</f>
        <v>Landscape vendor</v>
      </c>
      <c r="E28" s="91">
        <v>21665</v>
      </c>
      <c r="G28" s="55" t="str">
        <f>JAN!G29</f>
        <v>LS maintenance contract</v>
      </c>
    </row>
    <row r="29" spans="1:11" s="56" customFormat="1" x14ac:dyDescent="0.2">
      <c r="B29" s="55" t="str">
        <f>JAN!B30</f>
        <v>Landscape vendor</v>
      </c>
      <c r="E29" s="91">
        <v>12245</v>
      </c>
      <c r="G29" s="55" t="str">
        <f>JAN!G30</f>
        <v>irrig repairs, tree work + annuals</v>
      </c>
    </row>
    <row r="30" spans="1:11" s="56" customFormat="1" x14ac:dyDescent="0.2">
      <c r="B30" s="55" t="str">
        <f>JAN!B31</f>
        <v>Pool Contract Service</v>
      </c>
      <c r="E30" s="91">
        <v>0</v>
      </c>
      <c r="G30" s="55" t="str">
        <f>JAN!G31</f>
        <v>maintenance + chemicals</v>
      </c>
    </row>
    <row r="31" spans="1:11" s="56" customFormat="1" x14ac:dyDescent="0.2">
      <c r="B31" s="55" t="str">
        <f>JAN!B32</f>
        <v>Windom Solutions (Stan)</v>
      </c>
      <c r="E31" s="91">
        <v>0</v>
      </c>
      <c r="G31" s="55" t="str">
        <f>JAN!G32</f>
        <v>On site maintenance/janitorial</v>
      </c>
    </row>
    <row r="32" spans="1:11" s="56" customFormat="1" x14ac:dyDescent="0.2">
      <c r="B32" s="55" t="str">
        <f>JAN!B33</f>
        <v>HOA insurance</v>
      </c>
      <c r="E32" s="91">
        <v>0</v>
      </c>
      <c r="G32" s="55" t="str">
        <f>JAN!G33</f>
        <v>insurance payment</v>
      </c>
    </row>
    <row r="33" spans="1:11" s="56" customFormat="1" x14ac:dyDescent="0.2">
      <c r="B33" s="55" t="str">
        <f>JAN!B34</f>
        <v>Legal expenses</v>
      </c>
      <c r="E33" s="91">
        <v>0</v>
      </c>
      <c r="G33" s="55" t="str">
        <f>JAN!G34</f>
        <v>HOA attorney expenses</v>
      </c>
    </row>
    <row r="34" spans="1:11" s="56" customFormat="1" x14ac:dyDescent="0.2">
      <c r="B34" s="55" t="str">
        <f>JAN!B35</f>
        <v>Management fees</v>
      </c>
      <c r="E34" s="91">
        <v>0</v>
      </c>
      <c r="G34" s="55" t="str">
        <f>JAN!G35</f>
        <v>monthly management fee</v>
      </c>
    </row>
    <row r="35" spans="1:11" s="56" customFormat="1" x14ac:dyDescent="0.2">
      <c r="B35" s="55" t="str">
        <f>JAN!B36</f>
        <v>Administrative costs</v>
      </c>
      <c r="E35" s="91">
        <v>0</v>
      </c>
      <c r="G35" s="55" t="str">
        <f>JAN!G36</f>
        <v>reimbursable expenses</v>
      </c>
    </row>
    <row r="36" spans="1:11" s="74" customFormat="1" x14ac:dyDescent="0.2">
      <c r="A36" s="56"/>
      <c r="B36" s="55" t="str">
        <f>JAN!B37</f>
        <v>Gate Repairs</v>
      </c>
      <c r="C36" s="56"/>
      <c r="D36" s="56"/>
      <c r="E36" s="91">
        <v>0</v>
      </c>
      <c r="F36" s="56"/>
      <c r="G36" s="55" t="str">
        <f>JAN!G37</f>
        <v>technician services/parts</v>
      </c>
      <c r="H36" s="56"/>
      <c r="I36" s="56"/>
      <c r="J36" s="56"/>
      <c r="K36" s="56"/>
    </row>
    <row r="37" spans="1:11" s="56" customFormat="1" x14ac:dyDescent="0.2">
      <c r="B37" s="55" t="str">
        <f>JAN!B38</f>
        <v>Electrical Repairs</v>
      </c>
      <c r="E37" s="91">
        <v>0</v>
      </c>
      <c r="G37" s="55" t="str">
        <f>JAN!G38</f>
        <v>common areas</v>
      </c>
    </row>
    <row r="38" spans="1:11" s="56" customFormat="1" x14ac:dyDescent="0.2">
      <c r="B38" s="55" t="str">
        <f>JAN!B40</f>
        <v>Aquatic Maintenance</v>
      </c>
      <c r="E38" s="91">
        <v>0</v>
      </c>
      <c r="G38" s="55" t="str">
        <f>JAN!G40</f>
        <v>pond maintenance</v>
      </c>
    </row>
    <row r="39" spans="1:11" s="56" customFormat="1" x14ac:dyDescent="0.2">
      <c r="B39" s="55" t="str">
        <f>JAN!B41</f>
        <v>Envera Systems</v>
      </c>
      <c r="E39" s="91">
        <v>0</v>
      </c>
      <c r="G39" s="55" t="str">
        <f>JAN!G41</f>
        <v>monitoring and key fobs</v>
      </c>
    </row>
    <row r="40" spans="1:11" s="56" customFormat="1" x14ac:dyDescent="0.2">
      <c r="B40" s="55" t="str">
        <f>JAN!B42</f>
        <v>Southern Mosquito Control</v>
      </c>
      <c r="E40" s="91">
        <v>0</v>
      </c>
      <c r="G40" s="55" t="str">
        <f>JAN!G42</f>
        <v>mosquito &amp; midge spray service</v>
      </c>
    </row>
    <row r="41" spans="1:11" s="56" customFormat="1" x14ac:dyDescent="0.2">
      <c r="B41" s="55" t="str">
        <f>JAN!B43</f>
        <v>Universal Engineering</v>
      </c>
      <c r="E41" s="91">
        <v>0</v>
      </c>
      <c r="G41" s="55" t="str">
        <f>JAN!G43</f>
        <v>consultant/swales</v>
      </c>
    </row>
    <row r="42" spans="1:11" s="56" customFormat="1" x14ac:dyDescent="0.2">
      <c r="B42" s="55" t="str">
        <f>JAN!B44</f>
        <v>Lifestyle Management &amp; expenses</v>
      </c>
      <c r="E42" s="91">
        <v>0</v>
      </c>
      <c r="G42" s="55" t="str">
        <f>JAN!G44</f>
        <v>personnel &amp; estimated function expenses</v>
      </c>
    </row>
    <row r="43" spans="1:11" s="56" customFormat="1" x14ac:dyDescent="0.2">
      <c r="B43" s="55" t="str">
        <f>JAN!B45</f>
        <v>Miscellaneous</v>
      </c>
      <c r="C43" s="74"/>
      <c r="E43" s="92">
        <v>1275</v>
      </c>
      <c r="G43" s="55" t="s">
        <v>154</v>
      </c>
    </row>
    <row r="44" spans="1:11" s="56" customFormat="1" x14ac:dyDescent="0.2">
      <c r="A44" s="74"/>
      <c r="B44" s="55" t="str">
        <f>JAN!B46</f>
        <v>Maint/Infrastructure Acct deposit</v>
      </c>
      <c r="C44" s="74"/>
      <c r="D44" s="74"/>
      <c r="E44" s="92">
        <v>46589.04</v>
      </c>
      <c r="F44" s="74"/>
      <c r="G44" s="55" t="str">
        <f>JAN!G46</f>
        <v>per engineer's report &amp; CPA calcs</v>
      </c>
      <c r="H44" s="74"/>
      <c r="I44" s="74"/>
      <c r="J44" s="74"/>
      <c r="K44" s="74"/>
    </row>
    <row r="45" spans="1:11" s="56" customFormat="1" x14ac:dyDescent="0.2">
      <c r="A45" s="74"/>
      <c r="B45" s="157"/>
      <c r="C45" s="157"/>
      <c r="D45" s="157"/>
      <c r="E45" s="92"/>
      <c r="F45" s="74"/>
      <c r="G45" s="157"/>
      <c r="H45" s="157"/>
      <c r="I45" s="74"/>
      <c r="J45" s="74"/>
      <c r="K45" s="74"/>
    </row>
    <row r="46" spans="1:11" s="56" customFormat="1" ht="15.75" thickBot="1" x14ac:dyDescent="0.25">
      <c r="B46" s="55" t="str">
        <f>JAN!B76</f>
        <v>Total Estimated Month's Expenses</v>
      </c>
      <c r="E46" s="76">
        <f>SUM(E22:E45)</f>
        <v>90660.66</v>
      </c>
      <c r="G46" s="75"/>
    </row>
    <row r="47" spans="1:11" s="56" customFormat="1" ht="15.75" thickTop="1" x14ac:dyDescent="0.2">
      <c r="A47" s="55"/>
    </row>
    <row r="48" spans="1:11" s="56" customFormat="1" x14ac:dyDescent="0.2">
      <c r="A48" s="147" t="s">
        <v>36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2:7" s="56" customFormat="1" x14ac:dyDescent="0.2"/>
    <row r="50" spans="2:7" s="56" customFormat="1" x14ac:dyDescent="0.2">
      <c r="B50" s="55" t="str">
        <f>B22</f>
        <v>Water &amp; Sewer</v>
      </c>
      <c r="E50" s="91">
        <v>11475</v>
      </c>
      <c r="G50" s="55" t="str">
        <f>G22</f>
        <v>irrigation invoices</v>
      </c>
    </row>
    <row r="51" spans="2:7" s="56" customFormat="1" x14ac:dyDescent="0.2">
      <c r="B51" s="55" t="str">
        <f t="shared" ref="B51:B72" si="0">B23</f>
        <v>Electric</v>
      </c>
      <c r="E51" s="91">
        <f>1050+1416.67</f>
        <v>2466.67</v>
      </c>
      <c r="G51" s="55" t="str">
        <f t="shared" ref="G51:G72" si="1">G23</f>
        <v>common area electric incl fountains</v>
      </c>
    </row>
    <row r="52" spans="2:7" s="56" customFormat="1" x14ac:dyDescent="0.2">
      <c r="B52" s="55" t="str">
        <f t="shared" si="0"/>
        <v>Electric</v>
      </c>
      <c r="E52" s="91">
        <v>0</v>
      </c>
      <c r="G52" s="55" t="str">
        <f t="shared" si="1"/>
        <v>fountains</v>
      </c>
    </row>
    <row r="53" spans="2:7" s="56" customFormat="1" x14ac:dyDescent="0.2">
      <c r="B53" s="55" t="str">
        <f t="shared" si="0"/>
        <v>Electric</v>
      </c>
      <c r="E53" s="91">
        <v>0</v>
      </c>
      <c r="G53" s="55" t="str">
        <f t="shared" si="1"/>
        <v>mail kiosk</v>
      </c>
    </row>
    <row r="54" spans="2:7" s="56" customFormat="1" x14ac:dyDescent="0.2">
      <c r="B54" s="55" t="str">
        <f t="shared" si="0"/>
        <v>Electric</v>
      </c>
      <c r="E54" s="91">
        <v>8886.6200000000008</v>
      </c>
      <c r="G54" s="55" t="str">
        <f t="shared" si="1"/>
        <v>street lights</v>
      </c>
    </row>
    <row r="55" spans="2:7" s="56" customFormat="1" x14ac:dyDescent="0.2">
      <c r="B55" s="55" t="str">
        <f t="shared" si="0"/>
        <v>Phone lines - Gate &amp; Office</v>
      </c>
      <c r="E55" s="91">
        <v>512.5</v>
      </c>
      <c r="G55" s="55" t="str">
        <f t="shared" si="1"/>
        <v xml:space="preserve">gate access and clubhouse </v>
      </c>
    </row>
    <row r="56" spans="2:7" s="56" customFormat="1" x14ac:dyDescent="0.2">
      <c r="B56" s="55" t="str">
        <f t="shared" si="0"/>
        <v>Landscape vendor</v>
      </c>
      <c r="E56" s="91">
        <v>21665</v>
      </c>
      <c r="G56" s="55" t="str">
        <f t="shared" si="1"/>
        <v>LS maintenance contract</v>
      </c>
    </row>
    <row r="57" spans="2:7" s="56" customFormat="1" x14ac:dyDescent="0.2">
      <c r="B57" s="55" t="str">
        <f t="shared" si="0"/>
        <v>Landscape vendor</v>
      </c>
      <c r="E57" s="91">
        <v>0</v>
      </c>
      <c r="G57" s="55" t="str">
        <f t="shared" si="1"/>
        <v>irrig repairs, tree work + annuals</v>
      </c>
    </row>
    <row r="58" spans="2:7" s="56" customFormat="1" x14ac:dyDescent="0.2">
      <c r="B58" s="55" t="str">
        <f t="shared" si="0"/>
        <v>Pool Contract Service</v>
      </c>
      <c r="E58" s="91">
        <v>1440</v>
      </c>
      <c r="G58" s="55" t="str">
        <f t="shared" si="1"/>
        <v>maintenance + chemicals</v>
      </c>
    </row>
    <row r="59" spans="2:7" s="56" customFormat="1" x14ac:dyDescent="0.2">
      <c r="B59" s="55" t="str">
        <f t="shared" si="0"/>
        <v>Windom Solutions (Stan)</v>
      </c>
      <c r="E59" s="91">
        <v>1400</v>
      </c>
      <c r="G59" s="55" t="str">
        <f t="shared" si="1"/>
        <v>On site maintenance/janitorial</v>
      </c>
    </row>
    <row r="60" spans="2:7" s="56" customFormat="1" x14ac:dyDescent="0.2">
      <c r="B60" s="55" t="str">
        <f t="shared" si="0"/>
        <v>HOA insurance</v>
      </c>
      <c r="E60" s="91">
        <v>1944.74</v>
      </c>
      <c r="G60" s="55" t="str">
        <f t="shared" si="1"/>
        <v>insurance payment</v>
      </c>
    </row>
    <row r="61" spans="2:7" s="56" customFormat="1" x14ac:dyDescent="0.2">
      <c r="B61" s="55" t="str">
        <f t="shared" si="0"/>
        <v>Legal expenses</v>
      </c>
      <c r="E61" s="91">
        <v>1500</v>
      </c>
      <c r="G61" s="55" t="str">
        <f t="shared" si="1"/>
        <v>HOA attorney expenses</v>
      </c>
    </row>
    <row r="62" spans="2:7" s="56" customFormat="1" x14ac:dyDescent="0.2">
      <c r="B62" s="55" t="str">
        <f t="shared" si="0"/>
        <v>Management fees</v>
      </c>
      <c r="E62" s="91">
        <v>2361</v>
      </c>
      <c r="G62" s="55" t="str">
        <f t="shared" si="1"/>
        <v>monthly management fee</v>
      </c>
    </row>
    <row r="63" spans="2:7" s="56" customFormat="1" x14ac:dyDescent="0.2">
      <c r="B63" s="55" t="str">
        <f t="shared" si="0"/>
        <v>Administrative costs</v>
      </c>
      <c r="E63" s="91">
        <v>450</v>
      </c>
      <c r="G63" s="55" t="str">
        <f t="shared" si="1"/>
        <v>reimbursable expenses</v>
      </c>
    </row>
    <row r="64" spans="2:7" s="56" customFormat="1" x14ac:dyDescent="0.2">
      <c r="B64" s="55" t="str">
        <f t="shared" si="0"/>
        <v>Gate Repairs</v>
      </c>
      <c r="E64" s="91">
        <v>0</v>
      </c>
      <c r="G64" s="55" t="str">
        <f t="shared" si="1"/>
        <v>technician services/parts</v>
      </c>
    </row>
    <row r="65" spans="1:11" s="74" customFormat="1" x14ac:dyDescent="0.2">
      <c r="A65" s="56"/>
      <c r="B65" s="55" t="str">
        <f t="shared" si="0"/>
        <v>Electrical Repairs</v>
      </c>
      <c r="C65" s="56"/>
      <c r="D65" s="56"/>
      <c r="E65" s="91">
        <v>0</v>
      </c>
      <c r="F65" s="56"/>
      <c r="G65" s="55" t="str">
        <f t="shared" si="1"/>
        <v>common areas</v>
      </c>
      <c r="H65" s="56"/>
      <c r="I65" s="56"/>
      <c r="J65" s="56"/>
      <c r="K65" s="56"/>
    </row>
    <row r="66" spans="1:11" s="56" customFormat="1" x14ac:dyDescent="0.2">
      <c r="B66" s="55" t="str">
        <f t="shared" si="0"/>
        <v>Aquatic Maintenance</v>
      </c>
      <c r="E66" s="91">
        <v>776.12</v>
      </c>
      <c r="G66" s="55" t="str">
        <f t="shared" si="1"/>
        <v>pond maintenance</v>
      </c>
    </row>
    <row r="67" spans="1:11" s="56" customFormat="1" x14ac:dyDescent="0.2">
      <c r="B67" s="55" t="str">
        <f t="shared" si="0"/>
        <v>Envera Systems</v>
      </c>
      <c r="E67" s="91">
        <v>1341.9</v>
      </c>
      <c r="G67" s="55" t="str">
        <f t="shared" si="1"/>
        <v>monitoring and key fobs</v>
      </c>
    </row>
    <row r="68" spans="1:11" s="56" customFormat="1" x14ac:dyDescent="0.2">
      <c r="B68" s="55" t="str">
        <f t="shared" si="0"/>
        <v>Southern Mosquito Control</v>
      </c>
      <c r="E68" s="91">
        <v>0</v>
      </c>
      <c r="G68" s="55" t="str">
        <f t="shared" si="1"/>
        <v>mosquito &amp; midge spray service</v>
      </c>
    </row>
    <row r="69" spans="1:11" s="56" customFormat="1" x14ac:dyDescent="0.2">
      <c r="B69" s="55" t="str">
        <f t="shared" si="0"/>
        <v>Universal Engineering</v>
      </c>
      <c r="E69" s="91">
        <v>0</v>
      </c>
      <c r="G69" s="55" t="str">
        <f t="shared" si="1"/>
        <v>consultant/swales</v>
      </c>
    </row>
    <row r="70" spans="1:11" s="56" customFormat="1" x14ac:dyDescent="0.2">
      <c r="B70" s="55" t="str">
        <f t="shared" si="0"/>
        <v>Lifestyle Management &amp; expenses</v>
      </c>
      <c r="E70" s="91">
        <v>1683</v>
      </c>
      <c r="G70" s="55" t="str">
        <f t="shared" si="1"/>
        <v>personnel &amp; estimated function expenses</v>
      </c>
      <c r="H70" s="77"/>
    </row>
    <row r="71" spans="1:11" s="56" customFormat="1" x14ac:dyDescent="0.2">
      <c r="B71" s="55" t="str">
        <f t="shared" si="0"/>
        <v>Miscellaneous</v>
      </c>
      <c r="E71" s="91">
        <v>0</v>
      </c>
      <c r="G71" s="55" t="str">
        <f t="shared" si="1"/>
        <v>pool repair</v>
      </c>
    </row>
    <row r="72" spans="1:11" s="56" customFormat="1" x14ac:dyDescent="0.2">
      <c r="B72" s="55" t="str">
        <f t="shared" si="0"/>
        <v>Maint/Infrastructure Acct deposit</v>
      </c>
      <c r="C72" s="74"/>
      <c r="E72" s="92">
        <v>0</v>
      </c>
      <c r="G72" s="55" t="str">
        <f t="shared" si="1"/>
        <v>per engineer's report &amp; CPA calcs</v>
      </c>
      <c r="H72" s="74"/>
    </row>
    <row r="73" spans="1:11" s="56" customFormat="1" x14ac:dyDescent="0.2">
      <c r="A73" s="74"/>
      <c r="B73" s="157"/>
      <c r="C73" s="157"/>
      <c r="D73" s="74"/>
      <c r="E73" s="92"/>
      <c r="F73" s="74"/>
      <c r="G73" s="93"/>
      <c r="H73" s="94"/>
      <c r="I73" s="74"/>
      <c r="J73" s="74"/>
      <c r="K73" s="74"/>
    </row>
    <row r="74" spans="1:11" s="56" customFormat="1" ht="15.75" thickBot="1" x14ac:dyDescent="0.25">
      <c r="B74" s="78" t="s">
        <v>45</v>
      </c>
      <c r="C74" s="1"/>
      <c r="D74" s="1"/>
      <c r="E74" s="79">
        <f>SUM(E50:E73)</f>
        <v>57902.55</v>
      </c>
    </row>
    <row r="75" spans="1:11" ht="15.75" thickTop="1" x14ac:dyDescent="0.2">
      <c r="A75" s="56"/>
      <c r="B75" s="78"/>
      <c r="C75" s="1"/>
      <c r="D75" s="1"/>
      <c r="E75" s="7"/>
      <c r="F75" s="56"/>
      <c r="G75" s="135" t="str">
        <f>JAN!G77</f>
        <v>For HOA Accounting Use</v>
      </c>
      <c r="H75" s="136"/>
      <c r="I75" s="136"/>
      <c r="J75" s="136"/>
      <c r="K75" s="137"/>
    </row>
    <row r="76" spans="1:11" x14ac:dyDescent="0.2">
      <c r="A76" s="145" t="str">
        <f>JAN!A78</f>
        <v>Please make check payable to</v>
      </c>
      <c r="B76" s="146"/>
      <c r="C76" s="146"/>
      <c r="D76" s="146"/>
      <c r="E76" s="80"/>
      <c r="F76" s="80"/>
      <c r="G76" s="52" t="str">
        <f>JAN!G78</f>
        <v>Requested Funding</v>
      </c>
      <c r="H76" s="8"/>
      <c r="I76" s="155">
        <f>-H18</f>
        <v>43419.190000000024</v>
      </c>
      <c r="J76" s="155"/>
      <c r="K76" s="156"/>
    </row>
    <row r="77" spans="1:11" x14ac:dyDescent="0.2">
      <c r="A77" s="81" t="str">
        <f>JAN!A79</f>
        <v>Hickory Hammock at Johns Lake Community Association, Inc.</v>
      </c>
      <c r="B77" s="81"/>
      <c r="C77" s="81"/>
      <c r="D77" s="81"/>
      <c r="E77" s="80"/>
      <c r="F77" s="80"/>
      <c r="G77" s="10" t="str">
        <f>JAN!G79</f>
        <v>Delinquencies (unpaid Assessmts)</v>
      </c>
      <c r="H77" s="9"/>
      <c r="I77" s="148">
        <v>10354.61</v>
      </c>
      <c r="J77" s="148"/>
      <c r="K77" s="149"/>
    </row>
    <row r="78" spans="1:11" x14ac:dyDescent="0.2">
      <c r="A78" s="145" t="str">
        <f>JAN!A80</f>
        <v>and mail to:</v>
      </c>
      <c r="B78" s="146"/>
      <c r="C78" s="146"/>
      <c r="D78" s="146"/>
      <c r="E78" s="80"/>
      <c r="F78" s="80"/>
      <c r="G78" s="44" t="str">
        <f>JAN!G80</f>
        <v>Developer Contribution</v>
      </c>
      <c r="H78" s="11"/>
      <c r="I78" s="154">
        <f>IF(I77&gt;I76,0,I76-I77)</f>
        <v>33064.580000000024</v>
      </c>
      <c r="J78" s="154"/>
      <c r="K78" s="154"/>
    </row>
    <row r="79" spans="1:11" x14ac:dyDescent="0.2">
      <c r="A79" s="81"/>
      <c r="B79" s="82"/>
      <c r="C79" s="82"/>
      <c r="D79" s="82"/>
      <c r="E79" s="80"/>
      <c r="F79" s="80"/>
      <c r="G79" s="80"/>
      <c r="H79" s="1"/>
      <c r="I79" s="83"/>
      <c r="J79" s="84"/>
      <c r="K79" s="56"/>
    </row>
    <row r="80" spans="1:11" x14ac:dyDescent="0.2">
      <c r="A80" s="82" t="str">
        <f>JAN!A82</f>
        <v>Hickory Hammock at Johns Lake Community Association, Inc.</v>
      </c>
      <c r="B80" s="82"/>
      <c r="C80" s="82"/>
      <c r="D80" s="82"/>
      <c r="E80" s="80"/>
      <c r="F80" s="80"/>
      <c r="G80" s="135" t="str">
        <f>JAN!G82</f>
        <v>For M/I Homes Accounting Use</v>
      </c>
      <c r="H80" s="136"/>
      <c r="I80" s="136"/>
      <c r="J80" s="136"/>
      <c r="K80" s="137"/>
    </row>
    <row r="81" spans="1:11" x14ac:dyDescent="0.2">
      <c r="A81" s="145" t="str">
        <f>JAN!A83</f>
        <v>c/o Melrose Management</v>
      </c>
      <c r="B81" s="146"/>
      <c r="C81" s="146"/>
      <c r="D81" s="146"/>
      <c r="E81" s="80"/>
      <c r="F81" s="80"/>
      <c r="G81" s="12" t="str">
        <f>JAN!G83</f>
        <v xml:space="preserve">Vendor #: </v>
      </c>
      <c r="H81" s="34"/>
      <c r="I81" s="150">
        <f>JAN!I83</f>
        <v>2502183</v>
      </c>
      <c r="J81" s="150"/>
      <c r="K81" s="151"/>
    </row>
    <row r="82" spans="1:11" x14ac:dyDescent="0.2">
      <c r="A82" s="145" t="str">
        <f>JAN!A84</f>
        <v>1600 West Colonial Drive</v>
      </c>
      <c r="B82" s="146"/>
      <c r="C82" s="146"/>
      <c r="D82" s="146"/>
      <c r="E82" s="80"/>
      <c r="F82" s="80"/>
      <c r="G82" s="13" t="str">
        <f>JAN!G84</f>
        <v>Invoice #:</v>
      </c>
      <c r="H82" s="14" t="s">
        <v>63</v>
      </c>
      <c r="I82" s="102">
        <f>AUG!I82+1</f>
        <v>9</v>
      </c>
      <c r="J82" s="15">
        <v>10</v>
      </c>
      <c r="K82" s="32">
        <f>JAN!K84</f>
        <v>2017</v>
      </c>
    </row>
    <row r="83" spans="1:11" x14ac:dyDescent="0.2">
      <c r="A83" s="145" t="str">
        <f>JAN!A85</f>
        <v>Orlando FL 32804</v>
      </c>
      <c r="B83" s="146"/>
      <c r="C83" s="146"/>
      <c r="D83" s="146"/>
      <c r="E83" s="80"/>
      <c r="F83" s="80"/>
      <c r="G83" s="13" t="str">
        <f>JAN!G85</f>
        <v>Amount Due:</v>
      </c>
      <c r="H83" s="35"/>
      <c r="I83" s="140">
        <f>(I78)/2</f>
        <v>16532.290000000012</v>
      </c>
      <c r="J83" s="140"/>
      <c r="K83" s="141"/>
    </row>
    <row r="84" spans="1:11" x14ac:dyDescent="0.2">
      <c r="A84" s="145"/>
      <c r="B84" s="146"/>
      <c r="C84" s="146"/>
      <c r="D84" s="146"/>
      <c r="E84" s="80"/>
      <c r="F84" s="80"/>
      <c r="G84" s="45" t="str">
        <f>JAN!G86</f>
        <v>Description:</v>
      </c>
      <c r="H84" s="46" t="str">
        <f>H82</f>
        <v>HH</v>
      </c>
      <c r="I84" s="50" t="s">
        <v>32</v>
      </c>
      <c r="J84" s="47"/>
      <c r="K84" s="51"/>
    </row>
    <row r="85" spans="1:11" x14ac:dyDescent="0.2">
      <c r="A85" s="82" t="str">
        <f>JAN!A87</f>
        <v>Requested by: Michelle Bibeau, Melrose Management</v>
      </c>
      <c r="B85" s="82"/>
      <c r="C85" s="82"/>
      <c r="D85" s="82"/>
      <c r="E85" s="80"/>
      <c r="F85" s="80"/>
      <c r="G85" s="49" t="str">
        <f>JAN!G87</f>
        <v>Job Code:</v>
      </c>
      <c r="H85" s="159" t="s">
        <v>72</v>
      </c>
      <c r="I85" s="159"/>
      <c r="J85" s="159"/>
      <c r="K85" s="160"/>
    </row>
    <row r="86" spans="1:11" x14ac:dyDescent="0.2">
      <c r="A86" s="81"/>
      <c r="B86" s="82"/>
      <c r="C86" s="82"/>
      <c r="D86" s="82"/>
      <c r="E86" s="80"/>
      <c r="F86" s="80"/>
      <c r="G86" s="7"/>
    </row>
    <row r="87" spans="1:11" x14ac:dyDescent="0.2">
      <c r="A87" s="81"/>
      <c r="B87" s="82"/>
      <c r="C87" s="82"/>
      <c r="D87" s="82"/>
      <c r="E87" s="80"/>
      <c r="F87" s="80"/>
      <c r="G87" s="135" t="s">
        <v>68</v>
      </c>
      <c r="H87" s="136"/>
      <c r="I87" s="136"/>
      <c r="J87" s="136"/>
      <c r="K87" s="137"/>
    </row>
    <row r="88" spans="1:11" x14ac:dyDescent="0.2">
      <c r="A88" s="53" t="str">
        <f>JAN!A90</f>
        <v>Approval:</v>
      </c>
      <c r="B88" s="87"/>
      <c r="C88" s="85"/>
      <c r="D88" s="85"/>
      <c r="E88" s="3"/>
      <c r="F88" s="80"/>
      <c r="G88" s="12" t="str">
        <f>G81</f>
        <v xml:space="preserve">Vendor #: </v>
      </c>
      <c r="H88" s="34"/>
      <c r="I88" s="150">
        <v>9576591</v>
      </c>
      <c r="J88" s="150"/>
      <c r="K88" s="151"/>
    </row>
    <row r="89" spans="1:11" x14ac:dyDescent="0.2">
      <c r="A89" s="53"/>
      <c r="B89" s="50"/>
      <c r="C89" s="104"/>
      <c r="D89" s="104"/>
      <c r="E89" s="3"/>
      <c r="F89" s="80"/>
      <c r="G89" s="13" t="str">
        <f>G82</f>
        <v>Invoice #:</v>
      </c>
      <c r="H89" s="14" t="str">
        <f>H82</f>
        <v>HH</v>
      </c>
      <c r="I89" s="102">
        <f>I82</f>
        <v>9</v>
      </c>
      <c r="J89" s="15">
        <f>J82</f>
        <v>10</v>
      </c>
      <c r="K89" s="32">
        <f>K82</f>
        <v>2017</v>
      </c>
    </row>
    <row r="90" spans="1:11" x14ac:dyDescent="0.2">
      <c r="A90" s="53" t="str">
        <f>JAN!A92</f>
        <v>Approval:</v>
      </c>
      <c r="B90" s="103"/>
      <c r="C90" s="85"/>
      <c r="D90" s="85"/>
      <c r="G90" s="13" t="str">
        <f>G83</f>
        <v>Amount Due:</v>
      </c>
      <c r="H90" s="16"/>
      <c r="I90" s="140">
        <f>I83</f>
        <v>16532.290000000012</v>
      </c>
      <c r="J90" s="140"/>
      <c r="K90" s="141"/>
    </row>
    <row r="91" spans="1:11" x14ac:dyDescent="0.2">
      <c r="A91" s="53"/>
      <c r="B91" s="87"/>
      <c r="C91" s="87"/>
      <c r="D91" s="87"/>
      <c r="G91" s="45" t="str">
        <f>G84</f>
        <v>Description:</v>
      </c>
      <c r="H91" s="46" t="str">
        <f>H84</f>
        <v>HH</v>
      </c>
      <c r="I91" s="47" t="str">
        <f>I84</f>
        <v>deficit funding</v>
      </c>
      <c r="J91" s="47"/>
      <c r="K91" s="48"/>
    </row>
    <row r="92" spans="1:11" x14ac:dyDescent="0.2">
      <c r="A92" s="53" t="str">
        <f>JAN!A94</f>
        <v>Approval:</v>
      </c>
      <c r="B92" s="103"/>
      <c r="C92" s="85"/>
      <c r="D92" s="85"/>
      <c r="G92" s="49" t="str">
        <f>G85</f>
        <v>Job Code:</v>
      </c>
      <c r="H92" s="158" t="s">
        <v>65</v>
      </c>
      <c r="I92" s="159"/>
      <c r="J92" s="159"/>
      <c r="K92" s="160"/>
    </row>
    <row r="93" spans="1:11" x14ac:dyDescent="0.2">
      <c r="B93" s="3"/>
      <c r="C93" s="3"/>
      <c r="D93" s="3"/>
    </row>
  </sheetData>
  <mergeCells count="26">
    <mergeCell ref="I90:K90"/>
    <mergeCell ref="H92:K92"/>
    <mergeCell ref="B45:D45"/>
    <mergeCell ref="B73:C73"/>
    <mergeCell ref="A82:D82"/>
    <mergeCell ref="A83:D83"/>
    <mergeCell ref="I83:K83"/>
    <mergeCell ref="A84:D84"/>
    <mergeCell ref="H85:K85"/>
    <mergeCell ref="I76:K76"/>
    <mergeCell ref="A78:D78"/>
    <mergeCell ref="I78:K78"/>
    <mergeCell ref="G80:K80"/>
    <mergeCell ref="A81:D81"/>
    <mergeCell ref="I81:K81"/>
    <mergeCell ref="I77:K77"/>
    <mergeCell ref="G87:K87"/>
    <mergeCell ref="I88:K88"/>
    <mergeCell ref="A1:K1"/>
    <mergeCell ref="A2:K2"/>
    <mergeCell ref="A4:J4"/>
    <mergeCell ref="A20:K20"/>
    <mergeCell ref="G45:H45"/>
    <mergeCell ref="A48:K48"/>
    <mergeCell ref="G75:K75"/>
    <mergeCell ref="A76:D76"/>
  </mergeCells>
  <pageMargins left="2" right="0.75" top="0.52" bottom="0.48" header="0.5" footer="0.5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YTD</vt:lpstr>
      <vt:lpstr>Reserve calcs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'Reserve calcs'!Print_Area</vt:lpstr>
      <vt:lpstr>SEP!Print_Area</vt:lpstr>
      <vt:lpstr>YTD!Print_Area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MMP120</cp:lastModifiedBy>
  <cp:lastPrinted>2017-08-15T18:03:15Z</cp:lastPrinted>
  <dcterms:created xsi:type="dcterms:W3CDTF">2010-11-16T20:23:47Z</dcterms:created>
  <dcterms:modified xsi:type="dcterms:W3CDTF">2017-10-09T19:13:55Z</dcterms:modified>
</cp:coreProperties>
</file>